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Ivor House" sheetId="1" r:id="rId1"/>
  </sheets>
  <definedNames>
    <definedName name="_xlnm.Print_Area" localSheetId="0">'Ivor House'!$A$1:$G$207</definedName>
    <definedName name="Z_488309A2_288F_40A3_865F_218118BF0009_.wvu.PrintArea" localSheetId="0" hidden="1">'Ivor House'!$A$1:$G$207</definedName>
    <definedName name="Z_488309A2_288F_40A3_865F_218118BF0009_.wvu.Rows" localSheetId="0" hidden="1">'Ivor House'!$45:$45,'Ivor House'!$56:$56,'Ivor House'!$87:$87,'Ivor House'!$120:$120,'Ivor House'!$165:$167</definedName>
    <definedName name="Z_B5596FFC_E602_4D4E_9B0D_1B5C40DC4620_.wvu.PrintArea" localSheetId="0" hidden="1">'Ivor House'!$A$1:$G$207</definedName>
    <definedName name="Z_B5596FFC_E602_4D4E_9B0D_1B5C40DC4620_.wvu.Rows" localSheetId="0" hidden="1">'Ivor House'!$45:$45,'Ivor House'!$56:$56,'Ivor House'!$87:$87,'Ivor House'!$120:$120,'Ivor House'!$165:$167</definedName>
  </definedNames>
  <calcPr fullCalcOnLoad="1"/>
</workbook>
</file>

<file path=xl/sharedStrings.xml><?xml version="1.0" encoding="utf-8"?>
<sst xmlns="http://schemas.openxmlformats.org/spreadsheetml/2006/main" count="222" uniqueCount="139">
  <si>
    <t>Ivor House</t>
  </si>
  <si>
    <t>SW2 Enterprise Centre</t>
  </si>
  <si>
    <t>GIFA</t>
  </si>
  <si>
    <t>Description</t>
  </si>
  <si>
    <t>Quantity</t>
  </si>
  <si>
    <t>Unit</t>
  </si>
  <si>
    <t>Rate</t>
  </si>
  <si>
    <t>Total</t>
  </si>
  <si>
    <t>Site Preparation/Demolition</t>
  </si>
  <si>
    <t>No allowance for underpinning façade made - Structural engineer to confirm</t>
  </si>
  <si>
    <t>Allowance for temporary steels external to building</t>
  </si>
  <si>
    <t>item</t>
  </si>
  <si>
    <t>Strip roof finishes and structure</t>
  </si>
  <si>
    <t>m2</t>
  </si>
  <si>
    <t>Removal of windows and temporary fill</t>
  </si>
  <si>
    <t>nr</t>
  </si>
  <si>
    <t>Removal of shopfront glazing</t>
  </si>
  <si>
    <t>Temporary steel shoring to internals of building</t>
  </si>
  <si>
    <t>Cut existing concrete frame along existing columns / spandrel line</t>
  </si>
  <si>
    <t>m</t>
  </si>
  <si>
    <t>Allowance for local strengthening along slab edges</t>
  </si>
  <si>
    <t xml:space="preserve">Demolition of concrete frame </t>
  </si>
  <si>
    <t>Substructure</t>
  </si>
  <si>
    <t>Allowance to breakthrough existing basement slab; say 20nr pads</t>
  </si>
  <si>
    <t>Allowance to excavate and cast pad foundations for new frame; say 20nr pads</t>
  </si>
  <si>
    <t>Excavation or new basement plant area</t>
  </si>
  <si>
    <t>m3</t>
  </si>
  <si>
    <t>Retaining walls to basement area</t>
  </si>
  <si>
    <t>Reinforced concrete slab to basement area</t>
  </si>
  <si>
    <t>Superstructure</t>
  </si>
  <si>
    <t>Frame and Upper floors</t>
  </si>
  <si>
    <t xml:space="preserve">Steel frame construction </t>
  </si>
  <si>
    <t>Allowance for splicing beams to façade to provide lateral support to facade.</t>
  </si>
  <si>
    <t>Allowance for thermal break treatment to external walls</t>
  </si>
  <si>
    <t>Pre-cast planks with exposed soffits</t>
  </si>
  <si>
    <t>Upper Floors.</t>
  </si>
  <si>
    <t>incl in Frame</t>
  </si>
  <si>
    <t>Roof</t>
  </si>
  <si>
    <t>Allowance for roof structure (assumed mansard)</t>
  </si>
  <si>
    <t>New roof to café/meeting room area</t>
  </si>
  <si>
    <t>Allowance for roof coverings</t>
  </si>
  <si>
    <t>Allowance for Green Roof</t>
  </si>
  <si>
    <t>Stairs</t>
  </si>
  <si>
    <t>Precast concrete reinforced staircase including mild steel balustrades; Stair risers and goings in heavy contract carpet tiles; 4 storeys</t>
  </si>
  <si>
    <t>Timber staircase including timber balustrades; Stair risers and goings in heavy contract carpet tiles; 1 storey</t>
  </si>
  <si>
    <t>External Walls</t>
  </si>
  <si>
    <t>Glazed façade to café and meeting rooms</t>
  </si>
  <si>
    <t>Panellised cladding to new build sections</t>
  </si>
  <si>
    <t>Jetwash and repair to façade</t>
  </si>
  <si>
    <t>Allowance for secondary façade to existing façade</t>
  </si>
  <si>
    <t>Allowance for schedule of condition items - see separate sheet</t>
  </si>
  <si>
    <t>Windows and External Doors</t>
  </si>
  <si>
    <t>Double glazed windows;  as per existing style</t>
  </si>
  <si>
    <t>Glazed single leaf entrance doors including electrically operated door opening for disabled access</t>
  </si>
  <si>
    <t>Glazed double leaf entrance doors, including electrically operated door opening for disabled access</t>
  </si>
  <si>
    <t>Internal Walls</t>
  </si>
  <si>
    <t>Dense aggregate block partitions 140mm thick</t>
  </si>
  <si>
    <t>Metal stud and board partition 73mm partition; 48mm studs and channels; 1 layer of 12.5mm Gyproc wall board each side</t>
  </si>
  <si>
    <t>No allowance made for internal walls or doors to open plan area</t>
  </si>
  <si>
    <t>Internal Doors</t>
  </si>
  <si>
    <t>Entrance door; IG Door; with spy hole only and no letter plate</t>
  </si>
  <si>
    <t>Single leaf; solid core flush doors with concealed lippings to all edges timber frame and architrave to match</t>
  </si>
  <si>
    <t>Single leaf SBD solid core door finished In light oak veneer with concealed lippings to all edges</t>
  </si>
  <si>
    <t>ASSUMED</t>
  </si>
  <si>
    <t>Internal finishes</t>
  </si>
  <si>
    <t>Wall Finishes</t>
  </si>
  <si>
    <t>Vinyl matt emulsion paint to skimmed plasterboard</t>
  </si>
  <si>
    <t>Extra over allowance for moisture resistant plasterboard</t>
  </si>
  <si>
    <t>Wall tile 200 x 100 x 6.5mm; tiled in brick bond pattern</t>
  </si>
  <si>
    <t>Painting to basement walls</t>
  </si>
  <si>
    <t>Floor Finishes</t>
  </si>
  <si>
    <t>Floor screed and insulation</t>
  </si>
  <si>
    <t>Boen 3-strip Walnut Adante 14mm engineered board with Protect Ultra finish on underlay</t>
  </si>
  <si>
    <t>80/20% wool mix carpet on underlay</t>
  </si>
  <si>
    <t xml:space="preserve">Floor tile 300 x 300 x 8.5mm tile </t>
  </si>
  <si>
    <t>Floor tile 300 x 300 x 9mm rocktop finish</t>
  </si>
  <si>
    <t xml:space="preserve">Heavy contract carpet tiles </t>
  </si>
  <si>
    <t>Skirting boards; 100mm MDF skirting; Dulux eggshell white</t>
  </si>
  <si>
    <t>Ceiling Finishes</t>
  </si>
  <si>
    <t>Plasterboard; to battens shot and fired to soffit</t>
  </si>
  <si>
    <t>Vinyl matt emulsion to skimmed plasterboard</t>
  </si>
  <si>
    <t>Spray to basement ceiling</t>
  </si>
  <si>
    <t>Fittings and furnishings</t>
  </si>
  <si>
    <t>Kitchen units; semi gloss; with Bosch appliances and S/S Sink</t>
  </si>
  <si>
    <t>Vanity unit including; vanity shelf and cupboard</t>
  </si>
  <si>
    <t>Allowance for bathroom accessories including heated towel rail, steel robe hooks and toilet roll holder and door stops</t>
  </si>
  <si>
    <t>Allowance for directional signage</t>
  </si>
  <si>
    <t>Cycle storage</t>
  </si>
  <si>
    <t>Allowance for bins</t>
  </si>
  <si>
    <t>Services</t>
  </si>
  <si>
    <t>Sanitary appliances</t>
  </si>
  <si>
    <t>550 x 460mm semi recessed basin with one tap hole and overflow; inc single lever chrome monobloc basin mixer</t>
  </si>
  <si>
    <t>WC with soft close seat and cover; hinges in stainless steel</t>
  </si>
  <si>
    <t>Steel enamelled bath with bath filler/shower mixer</t>
  </si>
  <si>
    <t>En suite shower including; tray, riser panel, enclosure, mixer and shower set</t>
  </si>
  <si>
    <t>Services Equipment</t>
  </si>
  <si>
    <t>Dishwasher</t>
  </si>
  <si>
    <t>Water Installations</t>
  </si>
  <si>
    <t>Water installation complete; primary and secondary distribution</t>
  </si>
  <si>
    <t>Water installation to kitchen</t>
  </si>
  <si>
    <t>Disposal installation</t>
  </si>
  <si>
    <t>Rainwater installation</t>
  </si>
  <si>
    <t>Soil and waste installations</t>
  </si>
  <si>
    <t>Heat source</t>
  </si>
  <si>
    <t>CHP Plant Allowance</t>
  </si>
  <si>
    <t>Space heating and ventilation installations</t>
  </si>
  <si>
    <t>Underfloor Heating System Installation - perimeter trench Installation</t>
  </si>
  <si>
    <t>Ventilation to plant room</t>
  </si>
  <si>
    <t>Heat recovery air handling plant</t>
  </si>
  <si>
    <t>Air conditioning installation</t>
  </si>
  <si>
    <t>Allowance for heat pump chillers</t>
  </si>
  <si>
    <t>Electrical installations</t>
  </si>
  <si>
    <t>To include all lighting and power requirements; including distribution; fittings; sockets; earthing and bonding</t>
  </si>
  <si>
    <t>Allowance for PV Panels</t>
  </si>
  <si>
    <t>Lift installation</t>
  </si>
  <si>
    <t>Lift; electric traction lift with centrally opening doors and; floor and automated audio indictor</t>
  </si>
  <si>
    <t>Protective installations</t>
  </si>
  <si>
    <t xml:space="preserve">Allowance for AOVs, smoke alarms, fire alarms, emergency communication systems, fire telephones and disabled refuge alarm item, etc </t>
  </si>
  <si>
    <t>Allowance for sprinkler system</t>
  </si>
  <si>
    <t>Communication installations</t>
  </si>
  <si>
    <t>Data/AV Installations</t>
  </si>
  <si>
    <t>Installation of BMS system</t>
  </si>
  <si>
    <t>CCTV recognition</t>
  </si>
  <si>
    <t>Intruder detection system</t>
  </si>
  <si>
    <t>Special installations</t>
  </si>
  <si>
    <t>Builders work in connection</t>
  </si>
  <si>
    <t>%</t>
  </si>
  <si>
    <t>Testing &amp; Commissioning</t>
  </si>
  <si>
    <t>M&amp;E Subcontract Preliminaries</t>
  </si>
  <si>
    <t>External Works</t>
  </si>
  <si>
    <t xml:space="preserve">Steelwork link bridges as structural “tubes” to maximise soffit heights (ie sides of bridge are structural to reduce depth of structure below). </t>
  </si>
  <si>
    <t>Preliminaries</t>
  </si>
  <si>
    <t>@</t>
  </si>
  <si>
    <t>Allowance for Design Fees</t>
  </si>
  <si>
    <t>Overheads &amp; Profit</t>
  </si>
  <si>
    <t>Sub-Total</t>
  </si>
  <si>
    <t>Add contingency of 15%</t>
  </si>
  <si>
    <t>Assumptions</t>
  </si>
  <si>
    <t>Add allowance for infation of 23.6% (Based on BCIS) - excl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</si>
</sst>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[$-F800]dddd\,\ mmmm\ dd\,\ yyyy"/>
    <numFmt numFmtId="166" formatCode="_-* #,##0.0000_-;\-* #,##0.0000_-;_-* &quot;-&quot;??_-;_-@_-"/>
    <numFmt numFmtId="167" formatCode="#,##0_);\(#,##0\);\-_0_)"/>
    <numFmt numFmtId="168" formatCode="#,##0.0_);\(#,##0.0\);\-_0_)"/>
    <numFmt numFmtId="169" formatCode="#,##0.00_);\(#,##0.00\);\-_0_)"/>
    <numFmt numFmtId="170" formatCode="#,##0,_);\(#,##0,\);\-_0_)"/>
    <numFmt numFmtId="171" formatCode="#,##0.0,_);\(#,##0.0,\);\-_0_)"/>
    <numFmt numFmtId="172" formatCode="#,##0.00,_);\(#,##0.00,\);\-_0_)"/>
    <numFmt numFmtId="173" formatCode="#,##0.00_);[Red]\(#,##0.00\);0.00_)"/>
    <numFmt numFmtId="174" formatCode="#,##0.00_);[Red]\(#,##0.00\);&quot;- &quot;"/>
    <numFmt numFmtId="175" formatCode="#,##0.00_);[Red]\(#,##0.00\);&quot;Nil &quot;"/>
    <numFmt numFmtId="176" formatCode="#,##0.00_);[Red]\(#,##0.00\);"/>
    <numFmt numFmtId="177" formatCode="#,##0_);[Red]\(#,##0\);"/>
    <numFmt numFmtId="178" formatCode="#,##0_);[Red]\(#,##0\);&quot;- &quot;"/>
    <numFmt numFmtId="179" formatCode="#,##0_);[Red]\(#,##0\);&quot;Nil &quot;"/>
    <numFmt numFmtId="180" formatCode="&quot;£&quot;#,##0.00_);[Red]\(&quot;£&quot;#,##0.00\);&quot;£&quot;0.00_)"/>
    <numFmt numFmtId="181" formatCode="&quot;£&quot;#,##0.00_);[Red]\(&quot;£&quot;#,##0.00\);&quot;- &quot;"/>
    <numFmt numFmtId="182" formatCode="&quot;£&quot;#,##0.00_);[Red]\(&quot;£&quot;#,##0.00\);&quot;Nil &quot;"/>
    <numFmt numFmtId="183" formatCode="&quot;£&quot;#,##0.00_);[Red]\(&quot;£&quot;#,##0.00\);"/>
    <numFmt numFmtId="184" formatCode="&quot;£&quot;#,##0_);[Red]\(&quot;£&quot;#,##0\);"/>
    <numFmt numFmtId="185" formatCode="#,##0;\(#,##0\)"/>
    <numFmt numFmtId="186" formatCode="&quot;£&quot;#,##0.00;\(&quot;£&quot;#,##0.00\)"/>
    <numFmt numFmtId="187" formatCode="&quot;£&quot;#,##0_);[Red]\(&quot;£&quot;#,##0\);&quot;- &quot;"/>
    <numFmt numFmtId="188" formatCode="&quot;£&quot;#,##0_);[Red]\(&quot;£&quot;#,##0\);&quot;Nil &quot;"/>
    <numFmt numFmtId="189" formatCode="d\ mmmm\ yyyy"/>
    <numFmt numFmtId="190" formatCode="dd\ mmm\ yy"/>
    <numFmt numFmtId="191" formatCode="mmm\ yy"/>
    <numFmt numFmtId="192" formatCode="0.0000"/>
    <numFmt numFmtId="193" formatCode="_([$€-2]* #,##0.00_);_([$€-2]* \(#,##0.00\);_([$€-2]* &quot;-&quot;??_)"/>
    <numFmt numFmtId="194" formatCode="\ ;\ ;"/>
    <numFmt numFmtId="195" formatCode="&quot;£&quot;#,##0,,&quot;M&quot;_);[Red]\(&quot;£&quot;#,##0,,&quot;M&quot;\);&quot;£&quot;0,,&quot;M&quot;_)"/>
    <numFmt numFmtId="196" formatCode="&quot;£&quot;#,##0.00,,&quot;M&quot;_);[Red]\(&quot;£&quot;#,##0.00,,&quot;M&quot;\);&quot;£&quot;0.00,,&quot;M&quot;_)"/>
    <numFmt numFmtId="197" formatCode="#,##0.0,;\(#,##0.0,\);\-_)_0"/>
    <numFmt numFmtId="198" formatCode="0.00%;\(0.00%\)"/>
    <numFmt numFmtId="199" formatCode="0%_);\(0%\);\ \ \-\ \ \ \ "/>
    <numFmt numFmtId="200" formatCode="0.0%_);\(0.0%\);\ \ \-\ \ \ \ "/>
    <numFmt numFmtId="201" formatCode="0.00%_);\(0.00%\);\ \ \-\ \ \ \ "/>
    <numFmt numFmtId="202" formatCode="0.000%_);\(0.000%\);\ \ \-\ \ \ \ "/>
    <numFmt numFmtId="203" formatCode="_(* #,##0_);_(* \(#,##0\);_(* &quot;-&quot;_);_(@_)"/>
    <numFmt numFmtId="204" formatCode="&quot;£&quot;#,##0,&quot;K&quot;_);[Red]\(&quot;£&quot;#,##0,&quot;K&quot;\);&quot;£&quot;0,&quot;K&quot;_)"/>
    <numFmt numFmtId="205" formatCode="&quot;£&quot;#,##0.00,&quot;K&quot;_);[Red]\(&quot;£&quot;#,##0.00,&quot;K&quot;\);&quot;£&quot;0.00,&quot;K&quot;_)"/>
    <numFmt numFmtId="206" formatCode="_ * #,##0_ ;_ * \-#,##0_ ;_ * &quot;-&quot;_ ;_ @_ "/>
    <numFmt numFmtId="207" formatCode="_ * #,##0.00_ ;_ * \-#,##0.00_ ;_ * &quot;-&quot;??_ ;_ @_ "/>
    <numFmt numFmtId="208" formatCode="_ &quot;\&quot;* #,##0_ ;_ &quot;\&quot;* \-#,##0_ ;_ &quot;\&quot;* &quot;-&quot;_ ;_ @_ "/>
    <numFmt numFmtId="209" formatCode="_ &quot;\&quot;* #,##0.00_ ;_ &quot;\&quot;* \-#,##0.00_ ;_ &quot;\&quot;* &quot;-&quot;??_ ;_ @_ "/>
    <numFmt numFmtId="210" formatCode="_-* #,##0.000_-;\-* #,##0.000_-;_-* &quot;-&quot;?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name val="Geneva"/>
      <family val="0"/>
    </font>
    <font>
      <b/>
      <sz val="10"/>
      <name val="Switzerland"/>
      <family val="2"/>
    </font>
    <font>
      <b/>
      <sz val="12"/>
      <name val="Switzerland"/>
      <family val="2"/>
    </font>
    <font>
      <b/>
      <sz val="8"/>
      <name val="Switzerland"/>
      <family val="2"/>
    </font>
    <font>
      <b/>
      <i/>
      <sz val="10"/>
      <name val="Switzerland"/>
      <family val="2"/>
    </font>
    <font>
      <b/>
      <i/>
      <sz val="12"/>
      <name val="Switzerland"/>
      <family val="2"/>
    </font>
    <font>
      <b/>
      <i/>
      <sz val="8"/>
      <name val="Switzerland"/>
      <family val="2"/>
    </font>
    <font>
      <sz val="10"/>
      <name val="Antique Olive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indexed="8"/>
      <name val="Arial"/>
      <family val="2"/>
    </font>
    <font>
      <sz val="12"/>
      <color indexed="10"/>
      <name val="Times New Roman"/>
      <family val="1"/>
    </font>
    <font>
      <u val="single"/>
      <sz val="10"/>
      <name val="Arial"/>
      <family val="2"/>
    </font>
    <font>
      <sz val="12"/>
      <name val="바탕체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/>
      <top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38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42" fillId="20" borderId="1" applyNumberFormat="0" applyAlignment="0" applyProtection="0"/>
    <xf numFmtId="0" fontId="44" fillId="21" borderId="2" applyNumberFormat="0" applyAlignment="0" applyProtection="0"/>
    <xf numFmtId="43" fontId="0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14" fillId="0" borderId="0" applyFill="0" applyBorder="0">
      <alignment/>
      <protection locked="0"/>
    </xf>
    <xf numFmtId="186" fontId="0" fillId="0" borderId="0" applyFill="0" applyBorder="0">
      <alignment/>
      <protection/>
    </xf>
    <xf numFmtId="186" fontId="14" fillId="0" borderId="0" applyFill="0" applyBorder="0">
      <alignment/>
      <protection locked="0"/>
    </xf>
    <xf numFmtId="186" fontId="0" fillId="0" borderId="0" applyFill="0" applyBorder="0">
      <alignment/>
      <protection/>
    </xf>
    <xf numFmtId="44" fontId="0" fillId="0" borderId="0" applyFont="0" applyFill="0" applyBorder="0" applyAlignment="0" applyProtection="0"/>
    <xf numFmtId="187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5" fontId="0" fillId="0" borderId="0" applyFont="0" applyFill="0" applyBorder="0" applyAlignment="0" applyProtection="0"/>
    <xf numFmtId="189" fontId="13" fillId="0" borderId="3" applyNumberFormat="0" applyFill="0" applyBorder="0" applyAlignment="0">
      <protection locked="0"/>
    </xf>
    <xf numFmtId="0" fontId="0" fillId="0" borderId="0" applyFont="0" applyFill="0" applyBorder="0" applyAlignment="0" applyProtection="0"/>
    <xf numFmtId="15" fontId="14" fillId="0" borderId="0" applyFill="0" applyBorder="0">
      <alignment/>
      <protection locked="0"/>
    </xf>
    <xf numFmtId="15" fontId="12" fillId="0" borderId="0" applyFont="0" applyFill="0" applyBorder="0" applyAlignment="0" applyProtection="0"/>
    <xf numFmtId="190" fontId="12" fillId="0" borderId="4" applyFont="0" applyFill="0" applyBorder="0" applyAlignment="0" applyProtection="0"/>
    <xf numFmtId="191" fontId="12" fillId="0" borderId="0" applyFont="0" applyFill="0" applyBorder="0" applyAlignment="0" applyProtection="0"/>
    <xf numFmtId="0" fontId="15" fillId="0" borderId="5" applyNumberFormat="0" applyFill="0" applyBorder="0" applyAlignment="0">
      <protection/>
    </xf>
    <xf numFmtId="1" fontId="0" fillId="0" borderId="0" applyFill="0" applyBorder="0">
      <alignment horizontal="right"/>
      <protection/>
    </xf>
    <xf numFmtId="2" fontId="0" fillId="0" borderId="0" applyFill="0" applyBorder="0">
      <alignment horizontal="right"/>
      <protection/>
    </xf>
    <xf numFmtId="2" fontId="14" fillId="0" borderId="0" applyFill="0" applyBorder="0">
      <alignment/>
      <protection locked="0"/>
    </xf>
    <xf numFmtId="2" fontId="0" fillId="0" borderId="0" applyFill="0" applyBorder="0">
      <alignment horizontal="right"/>
      <protection/>
    </xf>
    <xf numFmtId="192" fontId="0" fillId="0" borderId="0" applyFill="0" applyBorder="0">
      <alignment horizontal="right"/>
      <protection/>
    </xf>
    <xf numFmtId="192" fontId="14" fillId="0" borderId="0" applyFill="0" applyBorder="0">
      <alignment/>
      <protection locked="0"/>
    </xf>
    <xf numFmtId="192" fontId="0" fillId="0" borderId="0" applyFill="0" applyBorder="0">
      <alignment horizontal="right"/>
      <protection/>
    </xf>
    <xf numFmtId="0" fontId="16" fillId="0" borderId="0" applyNumberFormat="0" applyFill="0" applyBorder="0" applyAlignment="0">
      <protection hidden="1"/>
    </xf>
    <xf numFmtId="0" fontId="17" fillId="0" borderId="0" applyNumberFormat="0" applyFill="0" applyBorder="0" applyAlignment="0">
      <protection hidden="1"/>
    </xf>
    <xf numFmtId="19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2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19" fillId="0" borderId="0" applyNumberFormat="0" applyFill="0" applyBorder="0" applyProtection="0">
      <alignment vertical="center"/>
    </xf>
    <xf numFmtId="0" fontId="20" fillId="0" borderId="0" applyNumberFormat="0" applyFill="0" applyBorder="0" applyProtection="0">
      <alignment vertical="center"/>
    </xf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194" fontId="21" fillId="0" borderId="0" applyAlignment="0">
      <protection hidden="1"/>
    </xf>
    <xf numFmtId="0" fontId="22" fillId="0" borderId="0" applyNumberFormat="0" applyFill="0" applyBorder="0" applyAlignment="0" applyProtection="0"/>
    <xf numFmtId="0" fontId="40" fillId="7" borderId="1" applyNumberFormat="0" applyAlignment="0" applyProtection="0"/>
    <xf numFmtId="38" fontId="23" fillId="0" borderId="0">
      <alignment/>
      <protection/>
    </xf>
    <xf numFmtId="38" fontId="24" fillId="0" borderId="0">
      <alignment/>
      <protection/>
    </xf>
    <xf numFmtId="38" fontId="25" fillId="0" borderId="0">
      <alignment/>
      <protection/>
    </xf>
    <xf numFmtId="38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22" borderId="0" applyNumberFormat="0" applyFont="0" applyBorder="0" applyAlignment="0" applyProtection="0"/>
    <xf numFmtId="185" fontId="28" fillId="0" borderId="9" applyNumberFormat="0" applyFont="0" applyFill="0" applyAlignment="0">
      <protection/>
    </xf>
    <xf numFmtId="0" fontId="43" fillId="0" borderId="10" applyNumberFormat="0" applyFill="0" applyAlignment="0" applyProtection="0"/>
    <xf numFmtId="195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39" fillId="23" borderId="0" applyNumberFormat="0" applyBorder="0" applyAlignment="0" applyProtection="0"/>
    <xf numFmtId="0" fontId="0" fillId="0" borderId="0">
      <alignment/>
      <protection/>
    </xf>
    <xf numFmtId="0" fontId="14" fillId="0" borderId="0" applyFill="0" applyBorder="0">
      <alignment/>
      <protection locked="0"/>
    </xf>
    <xf numFmtId="0" fontId="0" fillId="24" borderId="11" applyNumberFormat="0" applyFont="0" applyAlignment="0" applyProtection="0"/>
    <xf numFmtId="0" fontId="1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41" fillId="20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98" fontId="0" fillId="0" borderId="0" applyFill="0" applyBorder="0">
      <alignment/>
      <protection/>
    </xf>
    <xf numFmtId="198" fontId="14" fillId="0" borderId="0" applyFill="0" applyBorder="0">
      <alignment/>
      <protection locked="0"/>
    </xf>
    <xf numFmtId="198" fontId="0" fillId="0" borderId="0" applyFill="0" applyBorder="0">
      <alignment/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3" fontId="29" fillId="0" borderId="0" applyFill="0" applyBorder="0">
      <alignment/>
      <protection/>
    </xf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Fill="0" applyBorder="0" applyAlignment="0">
      <protection/>
    </xf>
    <xf numFmtId="204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185" fontId="16" fillId="0" borderId="14" applyFill="0">
      <alignment/>
      <protection/>
    </xf>
    <xf numFmtId="185" fontId="16" fillId="0" borderId="4" applyFill="0">
      <alignment/>
      <protection/>
    </xf>
    <xf numFmtId="185" fontId="0" fillId="0" borderId="14" applyFill="0">
      <alignment/>
      <protection/>
    </xf>
    <xf numFmtId="185" fontId="0" fillId="0" borderId="4" applyFill="0">
      <alignment/>
      <protection/>
    </xf>
    <xf numFmtId="0" fontId="14" fillId="0" borderId="0" applyNumberFormat="0" applyFill="0" applyBorder="0">
      <alignment/>
      <protection/>
    </xf>
    <xf numFmtId="0" fontId="45" fillId="0" borderId="0" applyNumberFormat="0" applyFill="0" applyBorder="0" applyAlignment="0" applyProtection="0"/>
    <xf numFmtId="206" fontId="32" fillId="0" borderId="0" applyFont="0" applyFill="0" applyBorder="0" applyAlignment="0" applyProtection="0"/>
    <xf numFmtId="207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209" fontId="32" fillId="0" borderId="0" applyFont="0" applyFill="0" applyBorder="0" applyAlignment="0" applyProtection="0"/>
    <xf numFmtId="0" fontId="32" fillId="0" borderId="0">
      <alignment/>
      <protection/>
    </xf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164" fontId="2" fillId="0" borderId="0" xfId="64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43" fontId="2" fillId="0" borderId="0" xfId="64" applyFont="1" applyAlignment="1">
      <alignment vertical="top"/>
    </xf>
    <xf numFmtId="14" fontId="2" fillId="0" borderId="0" xfId="0" applyNumberFormat="1" applyFont="1" applyAlignment="1">
      <alignment horizontal="left" vertical="top" wrapText="1"/>
    </xf>
    <xf numFmtId="165" fontId="2" fillId="0" borderId="0" xfId="0" applyNumberFormat="1" applyFont="1" applyAlignment="1">
      <alignment horizontal="left" vertical="top" wrapText="1"/>
    </xf>
    <xf numFmtId="43" fontId="0" fillId="0" borderId="0" xfId="64" applyFont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2" fillId="0" borderId="15" xfId="0" applyFont="1" applyBorder="1" applyAlignment="1">
      <alignment horizontal="left" vertical="top" wrapText="1"/>
    </xf>
    <xf numFmtId="164" fontId="2" fillId="0" borderId="16" xfId="64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/>
    </xf>
    <xf numFmtId="43" fontId="2" fillId="0" borderId="16" xfId="64" applyFont="1" applyBorder="1" applyAlignment="1">
      <alignment horizontal="center" vertical="top"/>
    </xf>
    <xf numFmtId="0" fontId="0" fillId="0" borderId="17" xfId="0" applyBorder="1" applyAlignment="1">
      <alignment horizontal="left" vertical="top" wrapText="1"/>
    </xf>
    <xf numFmtId="164" fontId="0" fillId="0" borderId="18" xfId="64" applyNumberFormat="1" applyFont="1" applyBorder="1" applyAlignment="1">
      <alignment vertical="top"/>
    </xf>
    <xf numFmtId="0" fontId="0" fillId="0" borderId="19" xfId="0" applyBorder="1" applyAlignment="1">
      <alignment horizontal="left" vertical="top"/>
    </xf>
    <xf numFmtId="43" fontId="0" fillId="0" borderId="18" xfId="64" applyFont="1" applyBorder="1" applyAlignment="1">
      <alignment vertical="top"/>
    </xf>
    <xf numFmtId="0" fontId="0" fillId="0" borderId="15" xfId="0" applyBorder="1" applyAlignment="1">
      <alignment horizontal="left" vertical="top" wrapText="1"/>
    </xf>
    <xf numFmtId="164" fontId="0" fillId="0" borderId="16" xfId="64" applyNumberFormat="1" applyFont="1" applyBorder="1" applyAlignment="1">
      <alignment vertical="top"/>
    </xf>
    <xf numFmtId="0" fontId="0" fillId="0" borderId="4" xfId="0" applyBorder="1" applyAlignment="1">
      <alignment horizontal="left" vertical="top"/>
    </xf>
    <xf numFmtId="43" fontId="0" fillId="0" borderId="16" xfId="64" applyFont="1" applyBorder="1" applyAlignment="1">
      <alignment vertical="top"/>
    </xf>
    <xf numFmtId="0" fontId="2" fillId="0" borderId="20" xfId="0" applyFont="1" applyBorder="1" applyAlignment="1">
      <alignment horizontal="left" vertical="top" wrapText="1"/>
    </xf>
    <xf numFmtId="164" fontId="0" fillId="0" borderId="21" xfId="64" applyNumberFormat="1" applyFont="1" applyBorder="1" applyAlignment="1">
      <alignment vertical="top"/>
    </xf>
    <xf numFmtId="0" fontId="0" fillId="0" borderId="0" xfId="0" applyBorder="1" applyAlignment="1">
      <alignment horizontal="left" vertical="top"/>
    </xf>
    <xf numFmtId="43" fontId="0" fillId="0" borderId="21" xfId="64" applyFont="1" applyBorder="1" applyAlignment="1">
      <alignment vertical="top"/>
    </xf>
    <xf numFmtId="0" fontId="0" fillId="0" borderId="20" xfId="0" applyBorder="1" applyAlignment="1">
      <alignment horizontal="left" vertical="top" wrapText="1"/>
    </xf>
    <xf numFmtId="43" fontId="0" fillId="0" borderId="21" xfId="64" applyFont="1" applyFill="1" applyBorder="1" applyAlignment="1">
      <alignment vertical="top"/>
    </xf>
    <xf numFmtId="0" fontId="3" fillId="0" borderId="20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164" fontId="0" fillId="0" borderId="21" xfId="64" applyNumberFormat="1" applyFont="1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25" borderId="20" xfId="0" applyFill="1" applyBorder="1" applyAlignment="1">
      <alignment horizontal="left" vertical="top" wrapText="1"/>
    </xf>
    <xf numFmtId="164" fontId="0" fillId="0" borderId="21" xfId="64" applyNumberFormat="1" applyFont="1" applyFill="1" applyBorder="1" applyAlignment="1">
      <alignment vertical="top"/>
    </xf>
    <xf numFmtId="164" fontId="0" fillId="25" borderId="21" xfId="64" applyNumberFormat="1" applyFont="1" applyFill="1" applyBorder="1" applyAlignment="1">
      <alignment vertical="top"/>
    </xf>
    <xf numFmtId="0" fontId="2" fillId="0" borderId="20" xfId="0" applyFont="1" applyFill="1" applyBorder="1" applyAlignment="1">
      <alignment horizontal="left" vertical="top" wrapText="1"/>
    </xf>
    <xf numFmtId="166" fontId="0" fillId="0" borderId="21" xfId="64" applyNumberFormat="1" applyFont="1" applyFill="1" applyBorder="1" applyAlignment="1">
      <alignment vertical="top"/>
    </xf>
    <xf numFmtId="0" fontId="3" fillId="0" borderId="20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/>
    </xf>
    <xf numFmtId="43" fontId="0" fillId="0" borderId="0" xfId="0" applyNumberFormat="1" applyFill="1" applyAlignment="1">
      <alignment/>
    </xf>
    <xf numFmtId="0" fontId="0" fillId="0" borderId="20" xfId="0" applyFill="1" applyBorder="1" applyAlignment="1" quotePrefix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164" fontId="0" fillId="0" borderId="4" xfId="64" applyNumberFormat="1" applyFont="1" applyFill="1" applyBorder="1" applyAlignment="1">
      <alignment vertical="top"/>
    </xf>
    <xf numFmtId="0" fontId="0" fillId="0" borderId="4" xfId="0" applyFill="1" applyBorder="1" applyAlignment="1">
      <alignment horizontal="left" vertical="top"/>
    </xf>
    <xf numFmtId="43" fontId="0" fillId="0" borderId="4" xfId="64" applyFont="1" applyFill="1" applyBorder="1" applyAlignment="1">
      <alignment vertical="top"/>
    </xf>
    <xf numFmtId="43" fontId="0" fillId="0" borderId="16" xfId="64" applyFont="1" applyFill="1" applyBorder="1" applyAlignment="1">
      <alignment vertical="top"/>
    </xf>
    <xf numFmtId="164" fontId="0" fillId="0" borderId="0" xfId="64" applyNumberFormat="1" applyFont="1" applyFill="1" applyBorder="1" applyAlignment="1">
      <alignment vertical="top"/>
    </xf>
    <xf numFmtId="43" fontId="2" fillId="0" borderId="0" xfId="64" applyFont="1" applyFill="1" applyBorder="1" applyAlignment="1">
      <alignment horizontal="right" vertical="top"/>
    </xf>
    <xf numFmtId="43" fontId="2" fillId="0" borderId="21" xfId="64" applyFont="1" applyFill="1" applyBorder="1" applyAlignment="1">
      <alignment vertical="top"/>
    </xf>
    <xf numFmtId="43" fontId="0" fillId="0" borderId="0" xfId="0" applyNumberFormat="1" applyAlignment="1">
      <alignment/>
    </xf>
    <xf numFmtId="43" fontId="3" fillId="0" borderId="0" xfId="64" applyFont="1" applyFill="1" applyBorder="1" applyAlignment="1">
      <alignment horizontal="right" vertical="top"/>
    </xf>
    <xf numFmtId="0" fontId="0" fillId="0" borderId="17" xfId="0" applyFill="1" applyBorder="1" applyAlignment="1">
      <alignment horizontal="left" vertical="top" wrapText="1"/>
    </xf>
    <xf numFmtId="164" fontId="0" fillId="0" borderId="19" xfId="64" applyNumberFormat="1" applyFont="1" applyFill="1" applyBorder="1" applyAlignment="1">
      <alignment vertical="top"/>
    </xf>
    <xf numFmtId="0" fontId="0" fillId="0" borderId="19" xfId="0" applyFill="1" applyBorder="1" applyAlignment="1">
      <alignment horizontal="left" vertical="top"/>
    </xf>
    <xf numFmtId="43" fontId="2" fillId="0" borderId="19" xfId="64" applyFont="1" applyFill="1" applyBorder="1" applyAlignment="1">
      <alignment horizontal="right" vertical="top"/>
    </xf>
    <xf numFmtId="43" fontId="2" fillId="0" borderId="18" xfId="64" applyFont="1" applyFill="1" applyBorder="1" applyAlignment="1">
      <alignment vertical="top"/>
    </xf>
    <xf numFmtId="164" fontId="0" fillId="0" borderId="19" xfId="64" applyNumberFormat="1" applyFont="1" applyBorder="1" applyAlignment="1">
      <alignment vertical="top"/>
    </xf>
    <xf numFmtId="43" fontId="0" fillId="0" borderId="19" xfId="64" applyFont="1" applyBorder="1" applyAlignment="1">
      <alignment vertical="top"/>
    </xf>
    <xf numFmtId="0" fontId="0" fillId="0" borderId="0" xfId="0" applyAlignment="1">
      <alignment horizontal="left" vertical="top" wrapText="1"/>
    </xf>
    <xf numFmtId="164" fontId="0" fillId="0" borderId="0" xfId="64" applyNumberFormat="1" applyFont="1" applyAlignment="1">
      <alignment vertical="top"/>
    </xf>
    <xf numFmtId="0" fontId="0" fillId="0" borderId="0" xfId="0" applyAlignment="1">
      <alignment horizontal="left" vertical="top"/>
    </xf>
    <xf numFmtId="43" fontId="0" fillId="0" borderId="0" xfId="64" applyFont="1" applyAlignment="1">
      <alignment vertical="top"/>
    </xf>
    <xf numFmtId="0" fontId="4" fillId="0" borderId="0" xfId="0" applyFont="1" applyAlignment="1">
      <alignment horizontal="left" vertical="top" wrapText="1"/>
    </xf>
  </cellXfs>
  <cellStyles count="160">
    <cellStyle name="Normal" xfId="0"/>
    <cellStyle name="%" xfId="15"/>
    <cellStyle name="_Book16" xfId="16"/>
    <cellStyle name="_Book17" xfId="17"/>
    <cellStyle name="_Edinburgh Schools Project FM Inputs 160305" xfId="18"/>
    <cellStyle name="_Edinburgh Schools Project FM Inputs 160305_Cost Plan Template" xfId="19"/>
    <cellStyle name="_EdiSch FM Cost Model BBCPL Template ITN v2 2" xfId="20"/>
    <cellStyle name="_EdiSch FM Cost Model BBCPL Template ITN v3.3" xfId="21"/>
    <cellStyle name="_EdiSch FM Pro Formae ITN v4.2 MV1 incl Tynecastle_sg" xfId="22"/>
    <cellStyle name="_EdiSch FM Pro Formae ITN v4.2 STD_sg" xfId="23"/>
    <cellStyle name="_Oldham Proforma_LM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9"/>
    <cellStyle name="Bold 10" xfId="50"/>
    <cellStyle name="Bold 12" xfId="51"/>
    <cellStyle name="Bold 8" xfId="52"/>
    <cellStyle name="Bold Italic 10" xfId="53"/>
    <cellStyle name="Bold Italic 12" xfId="54"/>
    <cellStyle name="Bold Italic 8" xfId="55"/>
    <cellStyle name="Brackets 0" xfId="56"/>
    <cellStyle name="Brackets 1" xfId="57"/>
    <cellStyle name="Brackets 2" xfId="58"/>
    <cellStyle name="Brackets T's 0" xfId="59"/>
    <cellStyle name="Brackets T's 1" xfId="60"/>
    <cellStyle name="Brackets T's 2" xfId="61"/>
    <cellStyle name="Calculation" xfId="62"/>
    <cellStyle name="Check Cell" xfId="63"/>
    <cellStyle name="Comma" xfId="64"/>
    <cellStyle name="Comma (2dp)" xfId="65"/>
    <cellStyle name="Comma (2dp) Dashed" xfId="66"/>
    <cellStyle name="Comma (2dp) Nil" xfId="67"/>
    <cellStyle name="Comma (2dp+nz)" xfId="68"/>
    <cellStyle name="Comma (nz)" xfId="69"/>
    <cellStyle name="Comma [0]" xfId="70"/>
    <cellStyle name="Comma 2" xfId="71"/>
    <cellStyle name="Comma 3" xfId="72"/>
    <cellStyle name="Comma Dashed" xfId="73"/>
    <cellStyle name="Comma Nil" xfId="74"/>
    <cellStyle name="Comma0" xfId="75"/>
    <cellStyle name="Currency" xfId="76"/>
    <cellStyle name="Currency (2dp)" xfId="77"/>
    <cellStyle name="Currency (2dp) Dashed" xfId="78"/>
    <cellStyle name="Currency (2dp) Nil" xfId="79"/>
    <cellStyle name="Currency (2dp+nz)" xfId="80"/>
    <cellStyle name="Currency (nz)" xfId="81"/>
    <cellStyle name="Currency [0]" xfId="82"/>
    <cellStyle name="Currency [0] U" xfId="83"/>
    <cellStyle name="Currency [2]" xfId="84"/>
    <cellStyle name="Currency [2] U" xfId="85"/>
    <cellStyle name="Currency [2]_Cost Plan Template" xfId="86"/>
    <cellStyle name="Currency 2" xfId="87"/>
    <cellStyle name="Currency Dashed" xfId="88"/>
    <cellStyle name="Currency Nil" xfId="89"/>
    <cellStyle name="Currency0" xfId="90"/>
    <cellStyle name="DataEntry" xfId="91"/>
    <cellStyle name="Date" xfId="92"/>
    <cellStyle name="Date U" xfId="93"/>
    <cellStyle name="DateModel" xfId="94"/>
    <cellStyle name="DateMonthly" xfId="95"/>
    <cellStyle name="DatePeriodic" xfId="96"/>
    <cellStyle name="Day" xfId="97"/>
    <cellStyle name="Decimal [0]" xfId="98"/>
    <cellStyle name="Decimal [2]" xfId="99"/>
    <cellStyle name="Decimal [2] U" xfId="100"/>
    <cellStyle name="Decimal [2]_Cost Plan Template" xfId="101"/>
    <cellStyle name="Decimal [4]" xfId="102"/>
    <cellStyle name="Decimal [4] U" xfId="103"/>
    <cellStyle name="Decimal [4]_Cost Plan Template" xfId="104"/>
    <cellStyle name="Description" xfId="105"/>
    <cellStyle name="Distribution" xfId="106"/>
    <cellStyle name="Euro" xfId="107"/>
    <cellStyle name="Explanatory Text" xfId="108"/>
    <cellStyle name="F2" xfId="109"/>
    <cellStyle name="F3" xfId="110"/>
    <cellStyle name="F4" xfId="111"/>
    <cellStyle name="F5" xfId="112"/>
    <cellStyle name="F6" xfId="113"/>
    <cellStyle name="F7" xfId="114"/>
    <cellStyle name="F8" xfId="115"/>
    <cellStyle name="Fixed" xfId="116"/>
    <cellStyle name="Good" xfId="117"/>
    <cellStyle name="Heading (12pt)" xfId="118"/>
    <cellStyle name="Heading (14pt)" xfId="119"/>
    <cellStyle name="Heading 1" xfId="120"/>
    <cellStyle name="Heading 2" xfId="121"/>
    <cellStyle name="Heading 3" xfId="122"/>
    <cellStyle name="Heading 4" xfId="123"/>
    <cellStyle name="Hidden" xfId="124"/>
    <cellStyle name="Hyperlink 2" xfId="125"/>
    <cellStyle name="Input" xfId="126"/>
    <cellStyle name="KPMG Heading 1" xfId="127"/>
    <cellStyle name="KPMG Heading 2" xfId="128"/>
    <cellStyle name="KPMG Heading 3" xfId="129"/>
    <cellStyle name="KPMG Heading 4" xfId="130"/>
    <cellStyle name="KPMG Normal" xfId="131"/>
    <cellStyle name="KPMG Normal Text" xfId="132"/>
    <cellStyle name="Lauren" xfId="133"/>
    <cellStyle name="lift" xfId="134"/>
    <cellStyle name="Linked Cell" xfId="135"/>
    <cellStyle name="Millions£" xfId="136"/>
    <cellStyle name="Millions£ (2dp)" xfId="137"/>
    <cellStyle name="Neutral" xfId="138"/>
    <cellStyle name="Normal 2" xfId="139"/>
    <cellStyle name="Normal U" xfId="140"/>
    <cellStyle name="Note" xfId="141"/>
    <cellStyle name="OperisBase" xfId="142"/>
    <cellStyle name="OperisMoney" xfId="143"/>
    <cellStyle name="Output" xfId="144"/>
    <cellStyle name="Percent" xfId="145"/>
    <cellStyle name="Percent (2dp)" xfId="146"/>
    <cellStyle name="Percent [2]" xfId="147"/>
    <cellStyle name="Percent [2] U" xfId="148"/>
    <cellStyle name="Percent [2]_Cost Plan Template" xfId="149"/>
    <cellStyle name="Percent 0" xfId="150"/>
    <cellStyle name="Percent 1" xfId="151"/>
    <cellStyle name="Percent 2" xfId="152"/>
    <cellStyle name="Percent 3" xfId="153"/>
    <cellStyle name="Percent 4" xfId="154"/>
    <cellStyle name="Std_0" xfId="155"/>
    <cellStyle name="stu" xfId="156"/>
    <cellStyle name="Style 1" xfId="157"/>
    <cellStyle name="Table Heading" xfId="158"/>
    <cellStyle name="Thousands£" xfId="159"/>
    <cellStyle name="Thousands£ (2dp)" xfId="160"/>
    <cellStyle name="Title" xfId="161"/>
    <cellStyle name="Total" xfId="162"/>
    <cellStyle name="Total 1" xfId="163"/>
    <cellStyle name="Total 2" xfId="164"/>
    <cellStyle name="Total 3" xfId="165"/>
    <cellStyle name="Total 4" xfId="166"/>
    <cellStyle name="Warning" xfId="167"/>
    <cellStyle name="Warning Text" xfId="168"/>
    <cellStyle name="콤마 [0]_laroux" xfId="169"/>
    <cellStyle name="콤마_laroux" xfId="170"/>
    <cellStyle name="통화 [0]_laroux" xfId="171"/>
    <cellStyle name="통화_laroux" xfId="172"/>
    <cellStyle name="표준_laroux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1143000</xdr:colOff>
      <xdr:row>1</xdr:row>
      <xdr:rowOff>19050</xdr:rowOff>
    </xdr:from>
    <xdr:to>
      <xdr:col>5</xdr:col>
      <xdr:colOff>1238250</xdr:colOff>
      <xdr:row>3</xdr:row>
      <xdr:rowOff>142875</xdr:rowOff>
    </xdr:to>
    <xdr:pic>
      <xdr:nvPicPr>
        <xdr:cNvPr id="1" name="Picture 3" descr="2011-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180975"/>
          <a:ext cx="1266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18"/>
  <sheetViews>
    <sheetView tabSelected="1" zoomScale="85" zoomScaleNormal="85" zoomScaleSheetLayoutView="85" zoomScalePageLayoutView="0" workbookViewId="0" topLeftCell="A1">
      <selection activeCell="C181" sqref="C181"/>
    </sheetView>
  </sheetViews>
  <sheetFormatPr defaultColWidth="9.140625" defaultRowHeight="12.75"/>
  <cols>
    <col min="1" max="1" width="4.00390625" style="0" bestFit="1" customWidth="1"/>
    <col min="2" max="2" width="48.140625" style="61" customWidth="1"/>
    <col min="3" max="3" width="10.57421875" style="62" bestFit="1" customWidth="1"/>
    <col min="4" max="4" width="9.140625" style="63" customWidth="1"/>
    <col min="5" max="5" width="17.57421875" style="64" customWidth="1"/>
    <col min="6" max="6" width="20.57421875" style="64" bestFit="1" customWidth="1"/>
    <col min="7" max="7" width="2.140625" style="0" customWidth="1"/>
    <col min="8" max="8" width="20.57421875" style="0" customWidth="1"/>
    <col min="9" max="9" width="9.57421875" style="0" bestFit="1" customWidth="1"/>
    <col min="11" max="11" width="13.28125" style="0" bestFit="1" customWidth="1"/>
  </cols>
  <sheetData>
    <row r="2" spans="2:6" ht="15">
      <c r="B2" s="1" t="s">
        <v>0</v>
      </c>
      <c r="C2" s="2"/>
      <c r="D2" s="3"/>
      <c r="E2" s="4"/>
      <c r="F2" s="4"/>
    </row>
    <row r="3" spans="2:8" ht="15">
      <c r="B3" s="5" t="s">
        <v>1</v>
      </c>
      <c r="C3" s="2"/>
      <c r="D3" s="3"/>
      <c r="E3" s="4"/>
      <c r="F3" s="4"/>
      <c r="H3" t="s">
        <v>2</v>
      </c>
    </row>
    <row r="4" spans="2:11" ht="15">
      <c r="B4" s="6"/>
      <c r="C4" s="2"/>
      <c r="D4" s="3"/>
      <c r="E4" s="4"/>
      <c r="F4" s="4"/>
      <c r="H4" s="7">
        <v>3675</v>
      </c>
      <c r="I4" s="8"/>
      <c r="J4" s="7"/>
      <c r="K4" s="9"/>
    </row>
    <row r="5" spans="2:6" ht="15">
      <c r="B5" s="1"/>
      <c r="C5" s="2"/>
      <c r="D5" s="3"/>
      <c r="E5" s="4"/>
      <c r="F5" s="4"/>
    </row>
    <row r="6" spans="2:6" ht="15">
      <c r="B6" s="10" t="s">
        <v>3</v>
      </c>
      <c r="C6" s="11" t="s">
        <v>4</v>
      </c>
      <c r="D6" s="12" t="s">
        <v>5</v>
      </c>
      <c r="E6" s="13" t="s">
        <v>6</v>
      </c>
      <c r="F6" s="13" t="s">
        <v>7</v>
      </c>
    </row>
    <row r="7" spans="2:6" ht="12.75">
      <c r="B7" s="14"/>
      <c r="C7" s="15"/>
      <c r="D7" s="16"/>
      <c r="E7" s="17"/>
      <c r="F7" s="17"/>
    </row>
    <row r="8" spans="2:6" ht="12.75">
      <c r="B8" s="18"/>
      <c r="C8" s="19"/>
      <c r="D8" s="20"/>
      <c r="E8" s="21"/>
      <c r="F8" s="21"/>
    </row>
    <row r="9" spans="2:6" ht="15">
      <c r="B9" s="22" t="s">
        <v>8</v>
      </c>
      <c r="C9" s="23"/>
      <c r="D9" s="24"/>
      <c r="E9" s="25"/>
      <c r="F9" s="25"/>
    </row>
    <row r="10" spans="2:6" ht="12.75">
      <c r="B10" s="26"/>
      <c r="C10" s="23"/>
      <c r="D10" s="24"/>
      <c r="E10" s="25"/>
      <c r="F10" s="25"/>
    </row>
    <row r="11" spans="2:6" ht="25.5">
      <c r="B11" s="26" t="s">
        <v>9</v>
      </c>
      <c r="C11" s="23"/>
      <c r="D11" s="24"/>
      <c r="E11" s="25"/>
      <c r="F11" s="25"/>
    </row>
    <row r="12" spans="2:6" ht="12.75">
      <c r="B12" s="26" t="s">
        <v>10</v>
      </c>
      <c r="C12" s="23">
        <v>1</v>
      </c>
      <c r="D12" s="24" t="s">
        <v>11</v>
      </c>
      <c r="E12" s="27">
        <f>74*1200</f>
        <v>88800</v>
      </c>
      <c r="F12" s="25">
        <f aca="true" t="shared" si="0" ref="F12:F74">E12*C12</f>
        <v>88800</v>
      </c>
    </row>
    <row r="13" spans="2:6" ht="12.75">
      <c r="B13" s="26" t="s">
        <v>12</v>
      </c>
      <c r="C13" s="23">
        <v>615</v>
      </c>
      <c r="D13" s="24" t="s">
        <v>13</v>
      </c>
      <c r="E13" s="27">
        <v>30</v>
      </c>
      <c r="F13" s="25">
        <f t="shared" si="0"/>
        <v>18450</v>
      </c>
    </row>
    <row r="14" spans="2:6" ht="12.75">
      <c r="B14" s="26" t="s">
        <v>14</v>
      </c>
      <c r="C14" s="23">
        <v>63</v>
      </c>
      <c r="D14" s="24" t="s">
        <v>15</v>
      </c>
      <c r="E14" s="27">
        <v>350</v>
      </c>
      <c r="F14" s="25">
        <f t="shared" si="0"/>
        <v>22050</v>
      </c>
    </row>
    <row r="15" spans="2:6" ht="12.75">
      <c r="B15" s="26" t="s">
        <v>16</v>
      </c>
      <c r="C15" s="23">
        <v>1</v>
      </c>
      <c r="D15" s="24" t="s">
        <v>11</v>
      </c>
      <c r="E15" s="27">
        <v>7500</v>
      </c>
      <c r="F15" s="25">
        <f t="shared" si="0"/>
        <v>7500</v>
      </c>
    </row>
    <row r="16" spans="2:6" ht="12.75">
      <c r="B16" s="26" t="s">
        <v>17</v>
      </c>
      <c r="C16" s="23">
        <v>1</v>
      </c>
      <c r="D16" s="24" t="s">
        <v>11</v>
      </c>
      <c r="E16" s="27">
        <f>74*800</f>
        <v>59200</v>
      </c>
      <c r="F16" s="25">
        <f t="shared" si="0"/>
        <v>59200</v>
      </c>
    </row>
    <row r="17" spans="2:6" ht="25.5">
      <c r="B17" s="26" t="s">
        <v>18</v>
      </c>
      <c r="C17" s="23">
        <v>296</v>
      </c>
      <c r="D17" s="24" t="s">
        <v>19</v>
      </c>
      <c r="E17" s="27">
        <v>300</v>
      </c>
      <c r="F17" s="25">
        <f t="shared" si="0"/>
        <v>88800</v>
      </c>
    </row>
    <row r="18" spans="2:6" ht="12.75">
      <c r="B18" s="26" t="s">
        <v>20</v>
      </c>
      <c r="C18" s="23">
        <f>74*4</f>
        <v>296</v>
      </c>
      <c r="D18" s="24" t="s">
        <v>19</v>
      </c>
      <c r="E18" s="25">
        <f>0.15*2400</f>
        <v>360</v>
      </c>
      <c r="F18" s="25">
        <f t="shared" si="0"/>
        <v>106560</v>
      </c>
    </row>
    <row r="19" spans="2:6" ht="12.75">
      <c r="B19" s="26" t="s">
        <v>21</v>
      </c>
      <c r="C19" s="23">
        <v>2921</v>
      </c>
      <c r="D19" s="24" t="s">
        <v>13</v>
      </c>
      <c r="E19" s="25">
        <v>70</v>
      </c>
      <c r="F19" s="25">
        <f t="shared" si="0"/>
        <v>204470</v>
      </c>
    </row>
    <row r="20" spans="2:6" ht="12.75">
      <c r="B20" s="26"/>
      <c r="C20" s="23"/>
      <c r="D20" s="24"/>
      <c r="E20" s="25"/>
      <c r="F20" s="25"/>
    </row>
    <row r="21" spans="2:6" ht="15">
      <c r="B21" s="22" t="s">
        <v>22</v>
      </c>
      <c r="C21" s="23"/>
      <c r="D21" s="24"/>
      <c r="E21" s="25"/>
      <c r="F21" s="25"/>
    </row>
    <row r="22" spans="2:6" ht="12.75">
      <c r="B22" s="26"/>
      <c r="C22" s="23"/>
      <c r="D22" s="24"/>
      <c r="E22" s="25"/>
      <c r="F22" s="25"/>
    </row>
    <row r="23" spans="2:6" ht="25.5">
      <c r="B23" s="26" t="s">
        <v>23</v>
      </c>
      <c r="C23" s="23">
        <v>1</v>
      </c>
      <c r="D23" s="24" t="s">
        <v>11</v>
      </c>
      <c r="E23" s="25">
        <v>60000</v>
      </c>
      <c r="F23" s="25">
        <f t="shared" si="0"/>
        <v>60000</v>
      </c>
    </row>
    <row r="24" spans="2:6" ht="25.5">
      <c r="B24" s="26" t="s">
        <v>24</v>
      </c>
      <c r="C24" s="23">
        <v>1</v>
      </c>
      <c r="D24" s="24" t="s">
        <v>11</v>
      </c>
      <c r="E24" s="25">
        <v>60000</v>
      </c>
      <c r="F24" s="25">
        <f t="shared" si="0"/>
        <v>60000</v>
      </c>
    </row>
    <row r="25" spans="2:6" ht="12.75">
      <c r="B25" s="26" t="s">
        <v>25</v>
      </c>
      <c r="C25" s="23">
        <f>226*3</f>
        <v>678</v>
      </c>
      <c r="D25" s="24" t="s">
        <v>26</v>
      </c>
      <c r="E25" s="25">
        <v>25</v>
      </c>
      <c r="F25" s="25">
        <f t="shared" si="0"/>
        <v>16950</v>
      </c>
    </row>
    <row r="26" spans="2:6" ht="12.75">
      <c r="B26" s="26" t="s">
        <v>27</v>
      </c>
      <c r="C26" s="23">
        <f>55*3</f>
        <v>165</v>
      </c>
      <c r="D26" s="24" t="s">
        <v>13</v>
      </c>
      <c r="E26" s="25">
        <v>350</v>
      </c>
      <c r="F26" s="25">
        <f t="shared" si="0"/>
        <v>57750</v>
      </c>
    </row>
    <row r="27" spans="2:6" ht="12.75">
      <c r="B27" s="26" t="s">
        <v>28</v>
      </c>
      <c r="C27" s="23">
        <f>180+46</f>
        <v>226</v>
      </c>
      <c r="D27" s="24" t="s">
        <v>13</v>
      </c>
      <c r="E27" s="25">
        <v>80</v>
      </c>
      <c r="F27" s="25">
        <f t="shared" si="0"/>
        <v>18080</v>
      </c>
    </row>
    <row r="28" spans="2:6" ht="12.75">
      <c r="B28" s="26"/>
      <c r="C28" s="23"/>
      <c r="D28" s="24"/>
      <c r="E28" s="25"/>
      <c r="F28" s="25">
        <f t="shared" si="0"/>
        <v>0</v>
      </c>
    </row>
    <row r="29" spans="2:6" ht="15">
      <c r="B29" s="22" t="s">
        <v>29</v>
      </c>
      <c r="C29" s="23"/>
      <c r="D29" s="24"/>
      <c r="E29" s="25"/>
      <c r="F29" s="25">
        <f t="shared" si="0"/>
        <v>0</v>
      </c>
    </row>
    <row r="30" spans="2:6" ht="15">
      <c r="B30" s="22"/>
      <c r="C30" s="23"/>
      <c r="D30" s="24"/>
      <c r="E30" s="25"/>
      <c r="F30" s="25">
        <f t="shared" si="0"/>
        <v>0</v>
      </c>
    </row>
    <row r="31" spans="2:6" ht="15">
      <c r="B31" s="28" t="s">
        <v>30</v>
      </c>
      <c r="C31" s="23"/>
      <c r="D31" s="24"/>
      <c r="E31" s="25"/>
      <c r="F31" s="25">
        <f t="shared" si="0"/>
        <v>0</v>
      </c>
    </row>
    <row r="32" spans="2:6" ht="12.75">
      <c r="B32" s="26"/>
      <c r="C32" s="23"/>
      <c r="D32" s="24"/>
      <c r="E32" s="25"/>
      <c r="F32" s="25">
        <f t="shared" si="0"/>
        <v>0</v>
      </c>
    </row>
    <row r="33" spans="2:6" ht="12.75">
      <c r="B33" s="26" t="s">
        <v>31</v>
      </c>
      <c r="C33" s="23">
        <v>3675</v>
      </c>
      <c r="D33" s="24" t="s">
        <v>13</v>
      </c>
      <c r="E33" s="25">
        <v>140</v>
      </c>
      <c r="F33" s="25">
        <f t="shared" si="0"/>
        <v>514500</v>
      </c>
    </row>
    <row r="34" spans="2:6" ht="25.5">
      <c r="B34" s="26" t="s">
        <v>32</v>
      </c>
      <c r="C34" s="23">
        <v>296</v>
      </c>
      <c r="D34" s="24" t="s">
        <v>13</v>
      </c>
      <c r="E34" s="25">
        <v>50</v>
      </c>
      <c r="F34" s="25">
        <f t="shared" si="0"/>
        <v>14800</v>
      </c>
    </row>
    <row r="35" spans="2:6" ht="12.75">
      <c r="B35" s="26" t="s">
        <v>33</v>
      </c>
      <c r="C35" s="23">
        <f>296</f>
        <v>296</v>
      </c>
      <c r="D35" s="24" t="s">
        <v>13</v>
      </c>
      <c r="E35" s="25">
        <v>50</v>
      </c>
      <c r="F35" s="25">
        <f t="shared" si="0"/>
        <v>14800</v>
      </c>
    </row>
    <row r="36" spans="2:6" ht="12.75">
      <c r="B36" s="26" t="s">
        <v>34</v>
      </c>
      <c r="C36" s="23">
        <f>C33</f>
        <v>3675</v>
      </c>
      <c r="D36" s="24" t="s">
        <v>13</v>
      </c>
      <c r="E36" s="25">
        <v>80</v>
      </c>
      <c r="F36" s="25">
        <f t="shared" si="0"/>
        <v>294000</v>
      </c>
    </row>
    <row r="37" spans="2:6" ht="12.75">
      <c r="B37" s="26"/>
      <c r="C37" s="23"/>
      <c r="D37" s="24"/>
      <c r="E37" s="25"/>
      <c r="F37" s="25">
        <f t="shared" si="0"/>
        <v>0</v>
      </c>
    </row>
    <row r="38" spans="2:6" ht="15">
      <c r="B38" s="28" t="s">
        <v>35</v>
      </c>
      <c r="C38" s="23"/>
      <c r="D38" s="24"/>
      <c r="E38" s="25"/>
      <c r="F38" s="25">
        <f t="shared" si="0"/>
        <v>0</v>
      </c>
    </row>
    <row r="39" spans="2:6" ht="12.75">
      <c r="B39" s="26"/>
      <c r="C39" s="23"/>
      <c r="D39" s="24"/>
      <c r="E39" s="25"/>
      <c r="F39" s="25">
        <f t="shared" si="0"/>
        <v>0</v>
      </c>
    </row>
    <row r="40" spans="2:6" ht="12.75">
      <c r="B40" s="26" t="s">
        <v>36</v>
      </c>
      <c r="C40" s="23"/>
      <c r="D40" s="24"/>
      <c r="E40" s="25"/>
      <c r="F40" s="25">
        <f t="shared" si="0"/>
        <v>0</v>
      </c>
    </row>
    <row r="41" spans="2:6" ht="12.75">
      <c r="B41" s="26"/>
      <c r="C41" s="23"/>
      <c r="D41" s="24"/>
      <c r="E41" s="25"/>
      <c r="F41" s="25">
        <f t="shared" si="0"/>
        <v>0</v>
      </c>
    </row>
    <row r="42" spans="2:6" ht="15">
      <c r="B42" s="28" t="s">
        <v>37</v>
      </c>
      <c r="C42" s="23"/>
      <c r="D42" s="24"/>
      <c r="E42" s="25"/>
      <c r="F42" s="25">
        <f t="shared" si="0"/>
        <v>0</v>
      </c>
    </row>
    <row r="43" spans="2:6" ht="12.75">
      <c r="B43" s="26"/>
      <c r="C43" s="23"/>
      <c r="D43" s="24"/>
      <c r="E43" s="25"/>
      <c r="F43" s="25">
        <f t="shared" si="0"/>
        <v>0</v>
      </c>
    </row>
    <row r="44" spans="2:6" ht="12.75">
      <c r="B44" s="26" t="s">
        <v>38</v>
      </c>
      <c r="C44" s="23">
        <v>798</v>
      </c>
      <c r="D44" s="24" t="s">
        <v>13</v>
      </c>
      <c r="E44" s="25">
        <v>125</v>
      </c>
      <c r="F44" s="25">
        <f t="shared" si="0"/>
        <v>99750</v>
      </c>
    </row>
    <row r="45" spans="2:6" ht="12.75" hidden="1">
      <c r="B45" s="26" t="s">
        <v>39</v>
      </c>
      <c r="C45" s="23">
        <v>0</v>
      </c>
      <c r="D45" s="24" t="s">
        <v>13</v>
      </c>
      <c r="E45" s="25">
        <v>220</v>
      </c>
      <c r="F45" s="25">
        <f t="shared" si="0"/>
        <v>0</v>
      </c>
    </row>
    <row r="46" spans="2:6" ht="12.75">
      <c r="B46" s="26" t="s">
        <v>40</v>
      </c>
      <c r="C46" s="23">
        <v>798</v>
      </c>
      <c r="D46" s="24" t="s">
        <v>13</v>
      </c>
      <c r="E46" s="25">
        <v>85</v>
      </c>
      <c r="F46" s="25">
        <f t="shared" si="0"/>
        <v>67830</v>
      </c>
    </row>
    <row r="47" spans="2:6" ht="12.75">
      <c r="B47" s="26" t="s">
        <v>41</v>
      </c>
      <c r="C47" s="23">
        <v>1</v>
      </c>
      <c r="D47" s="24" t="s">
        <v>11</v>
      </c>
      <c r="E47" s="25">
        <v>40000</v>
      </c>
      <c r="F47" s="25">
        <f t="shared" si="0"/>
        <v>40000</v>
      </c>
    </row>
    <row r="48" spans="2:6" ht="12.75">
      <c r="B48" s="26"/>
      <c r="C48" s="23"/>
      <c r="D48" s="24"/>
      <c r="E48" s="25"/>
      <c r="F48" s="25">
        <f t="shared" si="0"/>
        <v>0</v>
      </c>
    </row>
    <row r="49" spans="2:6" ht="15">
      <c r="B49" s="28" t="s">
        <v>42</v>
      </c>
      <c r="C49" s="23"/>
      <c r="D49" s="24"/>
      <c r="E49" s="25"/>
      <c r="F49" s="25">
        <f t="shared" si="0"/>
        <v>0</v>
      </c>
    </row>
    <row r="50" spans="2:6" ht="12.75">
      <c r="B50" s="26"/>
      <c r="C50" s="23"/>
      <c r="D50" s="24"/>
      <c r="E50" s="25"/>
      <c r="F50" s="25">
        <f t="shared" si="0"/>
        <v>0</v>
      </c>
    </row>
    <row r="51" spans="2:6" ht="38.25">
      <c r="B51" s="29" t="s">
        <v>43</v>
      </c>
      <c r="C51" s="23">
        <v>3</v>
      </c>
      <c r="D51" s="24" t="s">
        <v>15</v>
      </c>
      <c r="E51" s="25">
        <v>18000</v>
      </c>
      <c r="F51" s="25">
        <f t="shared" si="0"/>
        <v>54000</v>
      </c>
    </row>
    <row r="52" spans="2:6" ht="38.25">
      <c r="B52" s="30" t="s">
        <v>44</v>
      </c>
      <c r="C52" s="31">
        <v>6</v>
      </c>
      <c r="D52" s="32" t="s">
        <v>15</v>
      </c>
      <c r="E52" s="27">
        <v>1400</v>
      </c>
      <c r="F52" s="27">
        <f t="shared" si="0"/>
        <v>8400</v>
      </c>
    </row>
    <row r="53" spans="2:6" ht="12.75">
      <c r="B53" s="26"/>
      <c r="C53" s="23"/>
      <c r="D53" s="24"/>
      <c r="E53" s="25"/>
      <c r="F53" s="25">
        <f t="shared" si="0"/>
        <v>0</v>
      </c>
    </row>
    <row r="54" spans="2:6" ht="15">
      <c r="B54" s="28" t="s">
        <v>45</v>
      </c>
      <c r="C54" s="23"/>
      <c r="D54" s="24"/>
      <c r="E54" s="25"/>
      <c r="F54" s="25">
        <f t="shared" si="0"/>
        <v>0</v>
      </c>
    </row>
    <row r="55" spans="2:6" ht="12.75">
      <c r="B55" s="26"/>
      <c r="C55" s="23"/>
      <c r="D55" s="24"/>
      <c r="E55" s="25"/>
      <c r="F55" s="25">
        <f t="shared" si="0"/>
        <v>0</v>
      </c>
    </row>
    <row r="56" spans="2:6" ht="12.75" hidden="1">
      <c r="B56" s="30" t="s">
        <v>46</v>
      </c>
      <c r="C56" s="31">
        <v>0</v>
      </c>
      <c r="D56" s="24" t="s">
        <v>13</v>
      </c>
      <c r="E56" s="25">
        <v>450</v>
      </c>
      <c r="F56" s="25">
        <f t="shared" si="0"/>
        <v>0</v>
      </c>
    </row>
    <row r="57" spans="2:6" ht="12.75">
      <c r="B57" s="26" t="s">
        <v>47</v>
      </c>
      <c r="C57" s="31">
        <f>64+60+60+50+888</f>
        <v>1122</v>
      </c>
      <c r="D57" s="24" t="s">
        <v>13</v>
      </c>
      <c r="E57" s="25">
        <v>260</v>
      </c>
      <c r="F57" s="25">
        <f t="shared" si="0"/>
        <v>291720</v>
      </c>
    </row>
    <row r="58" spans="2:6" ht="12.75">
      <c r="B58" s="26" t="s">
        <v>48</v>
      </c>
      <c r="C58" s="23">
        <f>74*12</f>
        <v>888</v>
      </c>
      <c r="D58" s="24" t="s">
        <v>13</v>
      </c>
      <c r="E58" s="25">
        <v>15</v>
      </c>
      <c r="F58" s="25">
        <f t="shared" si="0"/>
        <v>13320</v>
      </c>
    </row>
    <row r="59" spans="2:6" ht="12.75">
      <c r="B59" s="26" t="s">
        <v>49</v>
      </c>
      <c r="C59" s="23">
        <f>74*12</f>
        <v>888</v>
      </c>
      <c r="D59" s="24" t="s">
        <v>13</v>
      </c>
      <c r="E59" s="25">
        <v>120</v>
      </c>
      <c r="F59" s="25">
        <f t="shared" si="0"/>
        <v>106560</v>
      </c>
    </row>
    <row r="60" spans="2:6" ht="25.5">
      <c r="B60" s="30" t="s">
        <v>50</v>
      </c>
      <c r="C60" s="23">
        <v>1</v>
      </c>
      <c r="D60" s="24" t="s">
        <v>11</v>
      </c>
      <c r="E60" s="25">
        <v>45000</v>
      </c>
      <c r="F60" s="25">
        <f t="shared" si="0"/>
        <v>45000</v>
      </c>
    </row>
    <row r="61" spans="2:6" ht="12.75">
      <c r="B61" s="26"/>
      <c r="C61" s="23"/>
      <c r="D61" s="24"/>
      <c r="E61" s="25"/>
      <c r="F61" s="25">
        <f t="shared" si="0"/>
        <v>0</v>
      </c>
    </row>
    <row r="62" spans="2:6" ht="15">
      <c r="B62" s="28" t="s">
        <v>51</v>
      </c>
      <c r="C62" s="23"/>
      <c r="D62" s="24"/>
      <c r="E62" s="25"/>
      <c r="F62" s="25">
        <f t="shared" si="0"/>
        <v>0</v>
      </c>
    </row>
    <row r="63" spans="2:6" ht="12.75">
      <c r="B63" s="26"/>
      <c r="C63" s="23"/>
      <c r="D63" s="24"/>
      <c r="E63" s="25"/>
      <c r="F63" s="25">
        <f t="shared" si="0"/>
        <v>0</v>
      </c>
    </row>
    <row r="64" spans="2:6" s="34" customFormat="1" ht="15">
      <c r="B64" s="33" t="s">
        <v>52</v>
      </c>
      <c r="C64" s="31">
        <f>C14</f>
        <v>63</v>
      </c>
      <c r="D64" s="32" t="s">
        <v>15</v>
      </c>
      <c r="E64" s="27">
        <f>3*4*450</f>
        <v>5400</v>
      </c>
      <c r="F64" s="25">
        <f t="shared" si="0"/>
        <v>340200</v>
      </c>
    </row>
    <row r="65" spans="2:6" ht="25.5">
      <c r="B65" s="26" t="s">
        <v>53</v>
      </c>
      <c r="C65" s="31">
        <v>3</v>
      </c>
      <c r="D65" s="24" t="s">
        <v>15</v>
      </c>
      <c r="E65" s="25">
        <v>1800</v>
      </c>
      <c r="F65" s="25">
        <f t="shared" si="0"/>
        <v>5400</v>
      </c>
    </row>
    <row r="66" spans="2:6" ht="25.5">
      <c r="B66" s="26" t="s">
        <v>54</v>
      </c>
      <c r="C66" s="31">
        <v>1</v>
      </c>
      <c r="D66" s="24" t="s">
        <v>15</v>
      </c>
      <c r="E66" s="25">
        <v>4500</v>
      </c>
      <c r="F66" s="25">
        <f t="shared" si="0"/>
        <v>4500</v>
      </c>
    </row>
    <row r="67" spans="2:6" ht="12.75">
      <c r="B67" s="26"/>
      <c r="C67" s="23"/>
      <c r="D67" s="24"/>
      <c r="E67" s="25"/>
      <c r="F67" s="25">
        <f t="shared" si="0"/>
        <v>0</v>
      </c>
    </row>
    <row r="68" spans="2:6" ht="15">
      <c r="B68" s="28" t="s">
        <v>55</v>
      </c>
      <c r="C68" s="23"/>
      <c r="D68" s="24"/>
      <c r="E68" s="25"/>
      <c r="F68" s="25">
        <f t="shared" si="0"/>
        <v>0</v>
      </c>
    </row>
    <row r="69" spans="2:6" ht="12.75">
      <c r="B69" s="26"/>
      <c r="C69" s="23"/>
      <c r="D69" s="24"/>
      <c r="E69" s="25"/>
      <c r="F69" s="25">
        <f t="shared" si="0"/>
        <v>0</v>
      </c>
    </row>
    <row r="70" spans="2:6" ht="12.75">
      <c r="B70" s="30" t="s">
        <v>56</v>
      </c>
      <c r="C70" s="23">
        <f>21*40</f>
        <v>840</v>
      </c>
      <c r="D70" s="24" t="s">
        <v>13</v>
      </c>
      <c r="E70" s="25">
        <v>90</v>
      </c>
      <c r="F70" s="25">
        <f t="shared" si="0"/>
        <v>75600</v>
      </c>
    </row>
    <row r="71" spans="2:6" ht="38.25">
      <c r="B71" s="30" t="s">
        <v>57</v>
      </c>
      <c r="C71" s="31">
        <f>723*2.4</f>
        <v>1735.2</v>
      </c>
      <c r="D71" s="24" t="s">
        <v>13</v>
      </c>
      <c r="E71" s="25">
        <f>95</f>
        <v>95</v>
      </c>
      <c r="F71" s="25">
        <f t="shared" si="0"/>
        <v>164844</v>
      </c>
    </row>
    <row r="72" spans="2:6" ht="25.5">
      <c r="B72" s="35" t="s">
        <v>58</v>
      </c>
      <c r="C72" s="23"/>
      <c r="D72" s="24"/>
      <c r="E72" s="25"/>
      <c r="F72" s="25">
        <f t="shared" si="0"/>
        <v>0</v>
      </c>
    </row>
    <row r="73" spans="2:6" ht="12.75">
      <c r="B73" s="26"/>
      <c r="C73" s="23"/>
      <c r="D73" s="24"/>
      <c r="E73" s="25"/>
      <c r="F73" s="25">
        <f t="shared" si="0"/>
        <v>0</v>
      </c>
    </row>
    <row r="74" spans="2:6" ht="15">
      <c r="B74" s="28" t="s">
        <v>59</v>
      </c>
      <c r="C74" s="23"/>
      <c r="D74" s="24"/>
      <c r="E74" s="25"/>
      <c r="F74" s="25">
        <f t="shared" si="0"/>
        <v>0</v>
      </c>
    </row>
    <row r="75" spans="2:6" ht="15">
      <c r="B75" s="28"/>
      <c r="C75" s="23"/>
      <c r="D75" s="24"/>
      <c r="E75" s="25"/>
      <c r="F75" s="25"/>
    </row>
    <row r="76" spans="2:6" ht="25.5">
      <c r="B76" s="30" t="s">
        <v>60</v>
      </c>
      <c r="C76" s="23">
        <v>25</v>
      </c>
      <c r="D76" s="24"/>
      <c r="E76" s="27">
        <v>650</v>
      </c>
      <c r="F76" s="27">
        <f>E76*C76</f>
        <v>16250</v>
      </c>
    </row>
    <row r="77" spans="2:6" ht="30" customHeight="1">
      <c r="B77" s="30" t="s">
        <v>61</v>
      </c>
      <c r="C77" s="23">
        <f>150+23</f>
        <v>173</v>
      </c>
      <c r="D77" s="24" t="s">
        <v>15</v>
      </c>
      <c r="E77" s="27">
        <v>300</v>
      </c>
      <c r="F77" s="27">
        <f>E77*C77</f>
        <v>51900</v>
      </c>
    </row>
    <row r="78" spans="2:8" ht="25.5">
      <c r="B78" s="30" t="s">
        <v>62</v>
      </c>
      <c r="C78" s="23">
        <v>9</v>
      </c>
      <c r="D78" s="24"/>
      <c r="E78" s="27">
        <v>400</v>
      </c>
      <c r="F78" s="27">
        <f>E78*C78</f>
        <v>3600</v>
      </c>
      <c r="H78" t="s">
        <v>63</v>
      </c>
    </row>
    <row r="79" spans="2:6" ht="12.75">
      <c r="B79" s="30"/>
      <c r="C79" s="23"/>
      <c r="D79" s="24"/>
      <c r="E79" s="25"/>
      <c r="F79" s="25"/>
    </row>
    <row r="80" spans="2:6" ht="15">
      <c r="B80" s="22" t="s">
        <v>64</v>
      </c>
      <c r="C80" s="23"/>
      <c r="D80" s="24"/>
      <c r="E80" s="25"/>
      <c r="F80" s="25">
        <f aca="true" t="shared" si="1" ref="F80:F146">E80*C80</f>
        <v>0</v>
      </c>
    </row>
    <row r="81" spans="2:6" ht="15">
      <c r="B81" s="22"/>
      <c r="C81" s="23"/>
      <c r="D81" s="24"/>
      <c r="E81" s="25"/>
      <c r="F81" s="25">
        <f t="shared" si="1"/>
        <v>0</v>
      </c>
    </row>
    <row r="82" spans="2:6" ht="15">
      <c r="B82" s="28" t="s">
        <v>65</v>
      </c>
      <c r="C82" s="23"/>
      <c r="D82" s="24"/>
      <c r="E82" s="25"/>
      <c r="F82" s="25">
        <f t="shared" si="1"/>
        <v>0</v>
      </c>
    </row>
    <row r="83" spans="2:6" ht="12.75">
      <c r="B83" s="26"/>
      <c r="C83" s="23"/>
      <c r="D83" s="24"/>
      <c r="E83" s="25"/>
      <c r="F83" s="25">
        <f t="shared" si="1"/>
        <v>0</v>
      </c>
    </row>
    <row r="84" spans="2:6" ht="15">
      <c r="B84" s="33" t="s">
        <v>66</v>
      </c>
      <c r="C84" s="31">
        <v>8267</v>
      </c>
      <c r="D84" s="32" t="s">
        <v>13</v>
      </c>
      <c r="E84" s="27">
        <v>7</v>
      </c>
      <c r="F84" s="27">
        <f t="shared" si="1"/>
        <v>57869</v>
      </c>
    </row>
    <row r="85" spans="2:6" ht="30">
      <c r="B85" s="33" t="s">
        <v>67</v>
      </c>
      <c r="C85" s="31">
        <f>C84*0.15</f>
        <v>1240.05</v>
      </c>
      <c r="D85" s="32" t="s">
        <v>13</v>
      </c>
      <c r="E85" s="27">
        <v>10</v>
      </c>
      <c r="F85" s="27">
        <f t="shared" si="1"/>
        <v>12400.5</v>
      </c>
    </row>
    <row r="86" spans="2:6" ht="30">
      <c r="B86" s="33" t="s">
        <v>68</v>
      </c>
      <c r="C86" s="31">
        <v>373</v>
      </c>
      <c r="D86" s="32" t="s">
        <v>13</v>
      </c>
      <c r="E86" s="27">
        <v>45</v>
      </c>
      <c r="F86" s="27">
        <f t="shared" si="1"/>
        <v>16785</v>
      </c>
    </row>
    <row r="87" spans="2:6" ht="15" hidden="1">
      <c r="B87" s="33" t="s">
        <v>69</v>
      </c>
      <c r="C87" s="31"/>
      <c r="D87" s="32" t="s">
        <v>13</v>
      </c>
      <c r="E87" s="27">
        <v>6</v>
      </c>
      <c r="F87" s="27">
        <f t="shared" si="1"/>
        <v>0</v>
      </c>
    </row>
    <row r="88" spans="2:6" ht="12.75">
      <c r="B88" s="26"/>
      <c r="C88" s="23"/>
      <c r="D88" s="24"/>
      <c r="E88" s="25"/>
      <c r="F88" s="25"/>
    </row>
    <row r="89" spans="2:6" ht="15">
      <c r="B89" s="28" t="s">
        <v>70</v>
      </c>
      <c r="C89" s="23"/>
      <c r="D89" s="24"/>
      <c r="E89" s="25"/>
      <c r="F89" s="25"/>
    </row>
    <row r="90" spans="2:6" ht="15">
      <c r="B90" s="28"/>
      <c r="C90" s="23"/>
      <c r="D90" s="24"/>
      <c r="E90" s="25"/>
      <c r="F90" s="25"/>
    </row>
    <row r="91" spans="2:6" ht="12.75">
      <c r="B91" s="30" t="s">
        <v>71</v>
      </c>
      <c r="C91" s="31">
        <f>C92+C93+C94+C95+C96</f>
        <v>2292</v>
      </c>
      <c r="D91" s="32" t="s">
        <v>13</v>
      </c>
      <c r="E91" s="27">
        <v>22</v>
      </c>
      <c r="F91" s="27">
        <f aca="true" t="shared" si="2" ref="F91:F97">E91*C91</f>
        <v>50424</v>
      </c>
    </row>
    <row r="92" spans="2:6" ht="25.5">
      <c r="B92" s="30" t="s">
        <v>72</v>
      </c>
      <c r="C92" s="36">
        <v>1291</v>
      </c>
      <c r="D92" s="32" t="s">
        <v>13</v>
      </c>
      <c r="E92" s="27">
        <v>40</v>
      </c>
      <c r="F92" s="27">
        <f t="shared" si="2"/>
        <v>51640</v>
      </c>
    </row>
    <row r="93" spans="2:6" ht="12.75">
      <c r="B93" s="30" t="s">
        <v>73</v>
      </c>
      <c r="C93" s="31">
        <v>710</v>
      </c>
      <c r="D93" s="32" t="s">
        <v>13</v>
      </c>
      <c r="E93" s="27">
        <v>40</v>
      </c>
      <c r="F93" s="27">
        <f t="shared" si="2"/>
        <v>28400</v>
      </c>
    </row>
    <row r="94" spans="2:6" ht="12.75">
      <c r="B94" s="30" t="s">
        <v>74</v>
      </c>
      <c r="C94" s="31">
        <v>291</v>
      </c>
      <c r="D94" s="32" t="s">
        <v>13</v>
      </c>
      <c r="E94" s="27">
        <v>35</v>
      </c>
      <c r="F94" s="27">
        <f t="shared" si="2"/>
        <v>10185</v>
      </c>
    </row>
    <row r="95" spans="2:6" ht="12.75">
      <c r="B95" s="30" t="s">
        <v>75</v>
      </c>
      <c r="C95" s="37"/>
      <c r="D95" s="32" t="s">
        <v>13</v>
      </c>
      <c r="E95" s="27">
        <v>45</v>
      </c>
      <c r="F95" s="27">
        <f t="shared" si="2"/>
        <v>0</v>
      </c>
    </row>
    <row r="96" spans="2:6" ht="12.75">
      <c r="B96" s="30" t="s">
        <v>76</v>
      </c>
      <c r="C96" s="37"/>
      <c r="D96" s="32" t="s">
        <v>13</v>
      </c>
      <c r="E96" s="27">
        <v>30</v>
      </c>
      <c r="F96" s="27">
        <f t="shared" si="2"/>
        <v>0</v>
      </c>
    </row>
    <row r="97" spans="2:6" ht="25.5">
      <c r="B97" s="30" t="s">
        <v>77</v>
      </c>
      <c r="C97" s="31">
        <v>3445</v>
      </c>
      <c r="D97" s="32" t="s">
        <v>19</v>
      </c>
      <c r="E97" s="27">
        <v>15</v>
      </c>
      <c r="F97" s="27">
        <f t="shared" si="2"/>
        <v>51675</v>
      </c>
    </row>
    <row r="98" spans="2:6" ht="12.75">
      <c r="B98" s="26"/>
      <c r="C98" s="23"/>
      <c r="D98" s="24"/>
      <c r="E98" s="25"/>
      <c r="F98" s="25">
        <f t="shared" si="1"/>
        <v>0</v>
      </c>
    </row>
    <row r="99" spans="2:6" ht="15">
      <c r="B99" s="28" t="s">
        <v>78</v>
      </c>
      <c r="C99" s="23"/>
      <c r="D99" s="24"/>
      <c r="E99" s="25"/>
      <c r="F99" s="25">
        <f t="shared" si="1"/>
        <v>0</v>
      </c>
    </row>
    <row r="100" spans="2:6" ht="12.75">
      <c r="B100" s="26"/>
      <c r="C100" s="23"/>
      <c r="D100" s="24"/>
      <c r="E100" s="25"/>
      <c r="F100" s="25">
        <f t="shared" si="1"/>
        <v>0</v>
      </c>
    </row>
    <row r="101" spans="2:6" ht="15">
      <c r="B101" s="33" t="s">
        <v>79</v>
      </c>
      <c r="C101" s="31">
        <f>H4-C103-640</f>
        <v>2334</v>
      </c>
      <c r="D101" s="32" t="s">
        <v>13</v>
      </c>
      <c r="E101" s="27">
        <v>27</v>
      </c>
      <c r="F101" s="27">
        <f t="shared" si="1"/>
        <v>63018</v>
      </c>
    </row>
    <row r="102" spans="2:6" ht="15">
      <c r="B102" s="33" t="s">
        <v>80</v>
      </c>
      <c r="C102" s="31">
        <f>C101</f>
        <v>2334</v>
      </c>
      <c r="D102" s="32" t="s">
        <v>13</v>
      </c>
      <c r="E102" s="27">
        <v>9</v>
      </c>
      <c r="F102" s="27">
        <f t="shared" si="1"/>
        <v>21006</v>
      </c>
    </row>
    <row r="103" spans="2:6" ht="15">
      <c r="B103" s="33" t="s">
        <v>81</v>
      </c>
      <c r="C103" s="31">
        <v>701</v>
      </c>
      <c r="D103" s="32" t="s">
        <v>13</v>
      </c>
      <c r="E103" s="27">
        <v>4</v>
      </c>
      <c r="F103" s="27">
        <f t="shared" si="1"/>
        <v>2804</v>
      </c>
    </row>
    <row r="104" spans="2:6" s="34" customFormat="1" ht="12.75">
      <c r="B104" s="30"/>
      <c r="C104" s="31"/>
      <c r="D104" s="32"/>
      <c r="E104" s="27"/>
      <c r="F104" s="25">
        <f t="shared" si="1"/>
        <v>0</v>
      </c>
    </row>
    <row r="105" spans="2:6" ht="15">
      <c r="B105" s="38" t="s">
        <v>82</v>
      </c>
      <c r="C105" s="31"/>
      <c r="D105" s="32"/>
      <c r="E105" s="27"/>
      <c r="F105" s="27">
        <f t="shared" si="1"/>
        <v>0</v>
      </c>
    </row>
    <row r="106" spans="2:6" ht="25.5">
      <c r="B106" s="30" t="s">
        <v>83</v>
      </c>
      <c r="C106" s="31">
        <v>25</v>
      </c>
      <c r="D106" s="32" t="s">
        <v>15</v>
      </c>
      <c r="E106" s="27">
        <f>4000+350+350+350+300+300+150</f>
        <v>5800</v>
      </c>
      <c r="F106" s="27">
        <f t="shared" si="1"/>
        <v>145000</v>
      </c>
    </row>
    <row r="107" spans="2:6" ht="12.75">
      <c r="B107" s="30" t="s">
        <v>84</v>
      </c>
      <c r="C107" s="31">
        <f>25+23</f>
        <v>48</v>
      </c>
      <c r="D107" s="32" t="s">
        <v>15</v>
      </c>
      <c r="E107" s="39">
        <v>450</v>
      </c>
      <c r="F107" s="27">
        <f t="shared" si="1"/>
        <v>21600</v>
      </c>
    </row>
    <row r="108" spans="2:6" ht="45">
      <c r="B108" s="33" t="s">
        <v>85</v>
      </c>
      <c r="C108" s="31">
        <v>48</v>
      </c>
      <c r="D108" s="32" t="s">
        <v>15</v>
      </c>
      <c r="E108" s="27">
        <v>500</v>
      </c>
      <c r="F108" s="27">
        <f t="shared" si="1"/>
        <v>24000</v>
      </c>
    </row>
    <row r="109" spans="2:6" ht="12.75">
      <c r="B109" s="30" t="s">
        <v>86</v>
      </c>
      <c r="C109" s="31">
        <v>1</v>
      </c>
      <c r="D109" s="32" t="s">
        <v>11</v>
      </c>
      <c r="E109" s="27">
        <v>5000</v>
      </c>
      <c r="F109" s="27">
        <f t="shared" si="1"/>
        <v>5000</v>
      </c>
    </row>
    <row r="110" spans="2:6" ht="12.75">
      <c r="B110" s="30" t="s">
        <v>87</v>
      </c>
      <c r="C110" s="31">
        <v>25</v>
      </c>
      <c r="D110" s="32" t="s">
        <v>15</v>
      </c>
      <c r="E110" s="27">
        <v>200</v>
      </c>
      <c r="F110" s="27">
        <f t="shared" si="1"/>
        <v>5000</v>
      </c>
    </row>
    <row r="111" spans="2:6" ht="12.75">
      <c r="B111" s="30" t="s">
        <v>88</v>
      </c>
      <c r="C111" s="31">
        <v>25</v>
      </c>
      <c r="D111" s="32" t="s">
        <v>15</v>
      </c>
      <c r="E111" s="27">
        <v>150</v>
      </c>
      <c r="F111" s="27">
        <f t="shared" si="1"/>
        <v>3750</v>
      </c>
    </row>
    <row r="112" spans="2:6" ht="12.75">
      <c r="B112" s="30"/>
      <c r="C112" s="31"/>
      <c r="D112" s="32"/>
      <c r="E112" s="27"/>
      <c r="F112" s="27"/>
    </row>
    <row r="113" spans="2:6" s="34" customFormat="1" ht="15">
      <c r="B113" s="38" t="s">
        <v>89</v>
      </c>
      <c r="C113" s="31"/>
      <c r="D113" s="32"/>
      <c r="E113" s="27"/>
      <c r="F113" s="27">
        <f aca="true" t="shared" si="3" ref="F113:F119">E113*C113</f>
        <v>0</v>
      </c>
    </row>
    <row r="114" spans="2:6" s="34" customFormat="1" ht="12.75">
      <c r="B114" s="30"/>
      <c r="C114" s="31"/>
      <c r="D114" s="32"/>
      <c r="E114" s="27"/>
      <c r="F114" s="27">
        <f t="shared" si="3"/>
        <v>0</v>
      </c>
    </row>
    <row r="115" spans="2:6" s="34" customFormat="1" ht="15">
      <c r="B115" s="40" t="s">
        <v>90</v>
      </c>
      <c r="C115" s="31"/>
      <c r="D115" s="32"/>
      <c r="E115" s="27"/>
      <c r="F115" s="27">
        <f t="shared" si="3"/>
        <v>0</v>
      </c>
    </row>
    <row r="116" spans="2:6" s="34" customFormat="1" ht="45">
      <c r="B116" s="33" t="s">
        <v>91</v>
      </c>
      <c r="C116" s="31">
        <v>48</v>
      </c>
      <c r="D116" s="32" t="s">
        <v>15</v>
      </c>
      <c r="E116" s="27">
        <v>350</v>
      </c>
      <c r="F116" s="27">
        <f t="shared" si="3"/>
        <v>16800</v>
      </c>
    </row>
    <row r="117" spans="2:6" s="34" customFormat="1" ht="30">
      <c r="B117" s="33" t="s">
        <v>92</v>
      </c>
      <c r="C117" s="31">
        <v>48</v>
      </c>
      <c r="D117" s="32" t="s">
        <v>15</v>
      </c>
      <c r="E117" s="27">
        <v>250</v>
      </c>
      <c r="F117" s="27">
        <f t="shared" si="3"/>
        <v>12000</v>
      </c>
    </row>
    <row r="118" spans="2:6" s="34" customFormat="1" ht="15">
      <c r="B118" s="33" t="s">
        <v>93</v>
      </c>
      <c r="C118" s="31">
        <v>25</v>
      </c>
      <c r="D118" s="32" t="s">
        <v>15</v>
      </c>
      <c r="E118" s="27">
        <v>300</v>
      </c>
      <c r="F118" s="27">
        <f t="shared" si="3"/>
        <v>7500</v>
      </c>
    </row>
    <row r="119" spans="2:6" s="34" customFormat="1" ht="30">
      <c r="B119" s="33" t="s">
        <v>94</v>
      </c>
      <c r="C119" s="31">
        <v>23</v>
      </c>
      <c r="D119" s="32" t="s">
        <v>15</v>
      </c>
      <c r="E119" s="27">
        <v>450</v>
      </c>
      <c r="F119" s="27">
        <f t="shared" si="3"/>
        <v>10350</v>
      </c>
    </row>
    <row r="120" spans="2:6" s="34" customFormat="1" ht="15" hidden="1">
      <c r="B120" s="33"/>
      <c r="C120" s="31"/>
      <c r="D120" s="32"/>
      <c r="E120" s="27"/>
      <c r="F120" s="25">
        <f t="shared" si="1"/>
        <v>0</v>
      </c>
    </row>
    <row r="121" spans="2:6" s="34" customFormat="1" ht="15">
      <c r="B121" s="40"/>
      <c r="C121" s="31"/>
      <c r="D121" s="32"/>
      <c r="E121" s="27"/>
      <c r="F121" s="25">
        <f t="shared" si="1"/>
        <v>0</v>
      </c>
    </row>
    <row r="122" spans="2:6" s="34" customFormat="1" ht="15">
      <c r="B122" s="40" t="s">
        <v>95</v>
      </c>
      <c r="C122" s="31"/>
      <c r="D122" s="32"/>
      <c r="E122" s="27"/>
      <c r="F122" s="25">
        <f t="shared" si="1"/>
        <v>0</v>
      </c>
    </row>
    <row r="123" spans="2:6" s="34" customFormat="1" ht="12.75">
      <c r="B123" s="30"/>
      <c r="C123" s="31"/>
      <c r="D123" s="32"/>
      <c r="E123" s="27"/>
      <c r="F123" s="25">
        <f t="shared" si="1"/>
        <v>0</v>
      </c>
    </row>
    <row r="124" spans="2:6" s="34" customFormat="1" ht="12.75">
      <c r="B124" s="30" t="s">
        <v>96</v>
      </c>
      <c r="C124" s="31">
        <v>0</v>
      </c>
      <c r="D124" s="32" t="s">
        <v>11</v>
      </c>
      <c r="E124" s="27">
        <v>5000</v>
      </c>
      <c r="F124" s="25">
        <f t="shared" si="1"/>
        <v>0</v>
      </c>
    </row>
    <row r="125" spans="2:6" s="34" customFormat="1" ht="12.75">
      <c r="B125" s="30"/>
      <c r="C125" s="31"/>
      <c r="D125" s="32"/>
      <c r="E125" s="27"/>
      <c r="F125" s="25">
        <f t="shared" si="1"/>
        <v>0</v>
      </c>
    </row>
    <row r="126" spans="2:6" s="34" customFormat="1" ht="15">
      <c r="B126" s="40" t="s">
        <v>97</v>
      </c>
      <c r="C126" s="31"/>
      <c r="D126" s="32"/>
      <c r="E126" s="27"/>
      <c r="F126" s="25">
        <f t="shared" si="1"/>
        <v>0</v>
      </c>
    </row>
    <row r="127" spans="2:6" s="34" customFormat="1" ht="12.75">
      <c r="B127" s="30"/>
      <c r="C127" s="31"/>
      <c r="D127" s="32"/>
      <c r="E127" s="27"/>
      <c r="F127" s="25">
        <f t="shared" si="1"/>
        <v>0</v>
      </c>
    </row>
    <row r="128" spans="2:6" s="34" customFormat="1" ht="25.5">
      <c r="B128" s="30" t="s">
        <v>98</v>
      </c>
      <c r="C128" s="31">
        <f>H4-185</f>
        <v>3490</v>
      </c>
      <c r="D128" s="32" t="s">
        <v>13</v>
      </c>
      <c r="E128" s="27">
        <v>18</v>
      </c>
      <c r="F128" s="25">
        <f t="shared" si="1"/>
        <v>62820</v>
      </c>
    </row>
    <row r="129" spans="2:6" s="34" customFormat="1" ht="12.75">
      <c r="B129" s="30" t="s">
        <v>99</v>
      </c>
      <c r="C129" s="31">
        <v>1</v>
      </c>
      <c r="D129" s="32" t="s">
        <v>11</v>
      </c>
      <c r="E129" s="27">
        <v>3000</v>
      </c>
      <c r="F129" s="25">
        <f t="shared" si="1"/>
        <v>3000</v>
      </c>
    </row>
    <row r="130" spans="2:6" s="34" customFormat="1" ht="12.75">
      <c r="B130" s="30"/>
      <c r="C130" s="31"/>
      <c r="D130" s="32"/>
      <c r="E130" s="27"/>
      <c r="F130" s="25">
        <f t="shared" si="1"/>
        <v>0</v>
      </c>
    </row>
    <row r="131" spans="2:6" s="34" customFormat="1" ht="15">
      <c r="B131" s="40" t="s">
        <v>100</v>
      </c>
      <c r="C131" s="31"/>
      <c r="D131" s="32"/>
      <c r="E131" s="27"/>
      <c r="F131" s="25">
        <f t="shared" si="1"/>
        <v>0</v>
      </c>
    </row>
    <row r="132" spans="2:6" s="34" customFormat="1" ht="15">
      <c r="B132" s="40"/>
      <c r="C132" s="31"/>
      <c r="D132" s="32"/>
      <c r="E132" s="27"/>
      <c r="F132" s="25">
        <f t="shared" si="1"/>
        <v>0</v>
      </c>
    </row>
    <row r="133" spans="2:6" s="34" customFormat="1" ht="12.75">
      <c r="B133" s="30" t="s">
        <v>101</v>
      </c>
      <c r="C133" s="31">
        <f>H4</f>
        <v>3675</v>
      </c>
      <c r="D133" s="32" t="s">
        <v>13</v>
      </c>
      <c r="E133" s="27">
        <v>5</v>
      </c>
      <c r="F133" s="25">
        <f t="shared" si="1"/>
        <v>18375</v>
      </c>
    </row>
    <row r="134" spans="2:6" s="34" customFormat="1" ht="12.75">
      <c r="B134" s="30" t="s">
        <v>102</v>
      </c>
      <c r="C134" s="31">
        <f>C133</f>
        <v>3675</v>
      </c>
      <c r="D134" s="32" t="s">
        <v>13</v>
      </c>
      <c r="E134" s="27">
        <v>12</v>
      </c>
      <c r="F134" s="25">
        <f t="shared" si="1"/>
        <v>44100</v>
      </c>
    </row>
    <row r="135" spans="2:6" s="34" customFormat="1" ht="12.75">
      <c r="B135" s="30"/>
      <c r="C135" s="31"/>
      <c r="D135" s="32"/>
      <c r="E135" s="27"/>
      <c r="F135" s="25">
        <f t="shared" si="1"/>
        <v>0</v>
      </c>
    </row>
    <row r="136" spans="2:6" s="34" customFormat="1" ht="15">
      <c r="B136" s="40" t="s">
        <v>103</v>
      </c>
      <c r="C136" s="31"/>
      <c r="D136" s="32"/>
      <c r="E136" s="27"/>
      <c r="F136" s="25">
        <f t="shared" si="1"/>
        <v>0</v>
      </c>
    </row>
    <row r="137" spans="2:6" s="34" customFormat="1" ht="12.75">
      <c r="B137" s="30"/>
      <c r="C137" s="31"/>
      <c r="D137" s="32"/>
      <c r="E137" s="27"/>
      <c r="F137" s="25">
        <f t="shared" si="1"/>
        <v>0</v>
      </c>
    </row>
    <row r="138" spans="2:6" s="34" customFormat="1" ht="12.75">
      <c r="B138" s="30" t="s">
        <v>104</v>
      </c>
      <c r="C138" s="31">
        <v>1</v>
      </c>
      <c r="D138" s="32" t="s">
        <v>11</v>
      </c>
      <c r="E138" s="27">
        <v>180000</v>
      </c>
      <c r="F138" s="25">
        <f t="shared" si="1"/>
        <v>180000</v>
      </c>
    </row>
    <row r="139" spans="2:6" s="34" customFormat="1" ht="12.75">
      <c r="B139" s="30"/>
      <c r="C139" s="31"/>
      <c r="D139" s="32"/>
      <c r="E139" s="27"/>
      <c r="F139" s="25">
        <f t="shared" si="1"/>
        <v>0</v>
      </c>
    </row>
    <row r="140" spans="2:6" s="34" customFormat="1" ht="15">
      <c r="B140" s="40" t="s">
        <v>105</v>
      </c>
      <c r="C140" s="31"/>
      <c r="D140" s="32"/>
      <c r="E140" s="27"/>
      <c r="F140" s="25">
        <f t="shared" si="1"/>
        <v>0</v>
      </c>
    </row>
    <row r="141" spans="2:6" s="34" customFormat="1" ht="12.75">
      <c r="B141" s="30"/>
      <c r="C141" s="31"/>
      <c r="D141" s="32"/>
      <c r="E141" s="27"/>
      <c r="F141" s="25">
        <f t="shared" si="1"/>
        <v>0</v>
      </c>
    </row>
    <row r="142" spans="2:6" s="34" customFormat="1" ht="25.5">
      <c r="B142" s="30" t="s">
        <v>106</v>
      </c>
      <c r="C142" s="31">
        <f>H4</f>
        <v>3675</v>
      </c>
      <c r="D142" s="32" t="s">
        <v>13</v>
      </c>
      <c r="E142" s="27">
        <v>38</v>
      </c>
      <c r="F142" s="25">
        <f t="shared" si="1"/>
        <v>139650</v>
      </c>
    </row>
    <row r="143" spans="2:6" s="34" customFormat="1" ht="12.75">
      <c r="B143" s="30" t="s">
        <v>107</v>
      </c>
      <c r="C143" s="31">
        <v>1</v>
      </c>
      <c r="D143" s="32" t="s">
        <v>11</v>
      </c>
      <c r="E143" s="27">
        <v>7500</v>
      </c>
      <c r="F143" s="25">
        <f t="shared" si="1"/>
        <v>7500</v>
      </c>
    </row>
    <row r="144" spans="2:6" s="34" customFormat="1" ht="12.75">
      <c r="B144" s="30" t="s">
        <v>108</v>
      </c>
      <c r="C144" s="31">
        <v>1</v>
      </c>
      <c r="D144" s="32" t="s">
        <v>11</v>
      </c>
      <c r="E144" s="27">
        <v>75000</v>
      </c>
      <c r="F144" s="25">
        <f t="shared" si="1"/>
        <v>75000</v>
      </c>
    </row>
    <row r="145" spans="2:6" s="34" customFormat="1" ht="12.75">
      <c r="B145" s="30" t="s">
        <v>109</v>
      </c>
      <c r="C145" s="31">
        <f>H4</f>
        <v>3675</v>
      </c>
      <c r="D145" s="32" t="s">
        <v>13</v>
      </c>
      <c r="E145" s="27">
        <v>18</v>
      </c>
      <c r="F145" s="25">
        <f t="shared" si="1"/>
        <v>66150</v>
      </c>
    </row>
    <row r="146" spans="2:6" s="34" customFormat="1" ht="12.75">
      <c r="B146" s="30" t="s">
        <v>110</v>
      </c>
      <c r="C146" s="31">
        <v>1</v>
      </c>
      <c r="D146" s="32" t="s">
        <v>11</v>
      </c>
      <c r="E146" s="27">
        <v>75000</v>
      </c>
      <c r="F146" s="25">
        <f t="shared" si="1"/>
        <v>75000</v>
      </c>
    </row>
    <row r="147" spans="2:6" s="34" customFormat="1" ht="12.75">
      <c r="B147" s="30"/>
      <c r="C147" s="31"/>
      <c r="D147" s="32"/>
      <c r="E147" s="27"/>
      <c r="F147" s="25">
        <f aca="true" t="shared" si="4" ref="F147:F167">E147*C147</f>
        <v>0</v>
      </c>
    </row>
    <row r="148" spans="2:6" s="34" customFormat="1" ht="15">
      <c r="B148" s="40" t="s">
        <v>111</v>
      </c>
      <c r="C148" s="31"/>
      <c r="D148" s="32"/>
      <c r="E148" s="27"/>
      <c r="F148" s="25">
        <f t="shared" si="4"/>
        <v>0</v>
      </c>
    </row>
    <row r="149" spans="2:6" s="34" customFormat="1" ht="12.75">
      <c r="B149" s="30"/>
      <c r="C149" s="31"/>
      <c r="D149" s="32"/>
      <c r="E149" s="27"/>
      <c r="F149" s="25">
        <f t="shared" si="4"/>
        <v>0</v>
      </c>
    </row>
    <row r="150" spans="2:6" s="34" customFormat="1" ht="38.25">
      <c r="B150" s="30" t="s">
        <v>112</v>
      </c>
      <c r="C150" s="31">
        <f>H4</f>
        <v>3675</v>
      </c>
      <c r="D150" s="32" t="s">
        <v>13</v>
      </c>
      <c r="E150" s="27">
        <v>105</v>
      </c>
      <c r="F150" s="25">
        <f t="shared" si="4"/>
        <v>385875</v>
      </c>
    </row>
    <row r="151" spans="2:6" s="34" customFormat="1" ht="12.75">
      <c r="B151" s="30" t="s">
        <v>113</v>
      </c>
      <c r="C151" s="31">
        <v>1</v>
      </c>
      <c r="D151" s="32" t="s">
        <v>11</v>
      </c>
      <c r="E151" s="27">
        <v>100000</v>
      </c>
      <c r="F151" s="25">
        <f t="shared" si="4"/>
        <v>100000</v>
      </c>
    </row>
    <row r="152" spans="2:6" s="34" customFormat="1" ht="12.75">
      <c r="B152" s="41"/>
      <c r="C152" s="31"/>
      <c r="D152" s="32"/>
      <c r="E152" s="27"/>
      <c r="F152" s="25">
        <f t="shared" si="4"/>
        <v>0</v>
      </c>
    </row>
    <row r="153" spans="2:6" s="34" customFormat="1" ht="12.75">
      <c r="B153" s="30"/>
      <c r="C153" s="31"/>
      <c r="D153" s="32"/>
      <c r="E153" s="27"/>
      <c r="F153" s="25">
        <f t="shared" si="4"/>
        <v>0</v>
      </c>
    </row>
    <row r="154" spans="2:6" s="34" customFormat="1" ht="15">
      <c r="B154" s="40" t="s">
        <v>114</v>
      </c>
      <c r="C154" s="31"/>
      <c r="D154" s="32"/>
      <c r="E154" s="27"/>
      <c r="F154" s="25">
        <f t="shared" si="4"/>
        <v>0</v>
      </c>
    </row>
    <row r="155" spans="2:6" s="34" customFormat="1" ht="25.5">
      <c r="B155" s="30" t="s">
        <v>115</v>
      </c>
      <c r="C155" s="31">
        <v>2</v>
      </c>
      <c r="D155" s="32" t="s">
        <v>15</v>
      </c>
      <c r="E155" s="27">
        <v>60000</v>
      </c>
      <c r="F155" s="25">
        <f t="shared" si="4"/>
        <v>120000</v>
      </c>
    </row>
    <row r="156" spans="2:6" s="34" customFormat="1" ht="12.75">
      <c r="B156" s="41"/>
      <c r="C156" s="31"/>
      <c r="D156" s="32"/>
      <c r="E156" s="27"/>
      <c r="F156" s="25">
        <f t="shared" si="4"/>
        <v>0</v>
      </c>
    </row>
    <row r="157" spans="2:6" s="34" customFormat="1" ht="15">
      <c r="B157" s="40" t="s">
        <v>116</v>
      </c>
      <c r="C157" s="31"/>
      <c r="D157" s="32"/>
      <c r="E157" s="27"/>
      <c r="F157" s="25">
        <f t="shared" si="4"/>
        <v>0</v>
      </c>
    </row>
    <row r="158" spans="2:6" s="34" customFormat="1" ht="12.75">
      <c r="B158" s="30"/>
      <c r="C158" s="31"/>
      <c r="D158" s="32"/>
      <c r="E158" s="27"/>
      <c r="F158" s="25">
        <f t="shared" si="4"/>
        <v>0</v>
      </c>
    </row>
    <row r="159" spans="2:6" s="34" customFormat="1" ht="38.25">
      <c r="B159" s="30" t="s">
        <v>117</v>
      </c>
      <c r="C159" s="31">
        <f>H4</f>
        <v>3675</v>
      </c>
      <c r="D159" s="32" t="s">
        <v>13</v>
      </c>
      <c r="E159" s="27">
        <v>15</v>
      </c>
      <c r="F159" s="25">
        <f t="shared" si="4"/>
        <v>55125</v>
      </c>
    </row>
    <row r="160" spans="2:6" s="34" customFormat="1" ht="12.75">
      <c r="B160" s="30" t="s">
        <v>118</v>
      </c>
      <c r="C160" s="31">
        <f>C159</f>
        <v>3675</v>
      </c>
      <c r="D160" s="32" t="s">
        <v>13</v>
      </c>
      <c r="E160" s="27">
        <v>15</v>
      </c>
      <c r="F160" s="25">
        <f t="shared" si="4"/>
        <v>55125</v>
      </c>
    </row>
    <row r="161" spans="2:6" s="34" customFormat="1" ht="12.75">
      <c r="B161" s="30"/>
      <c r="C161" s="31"/>
      <c r="D161" s="32"/>
      <c r="E161" s="27"/>
      <c r="F161" s="25">
        <f t="shared" si="4"/>
        <v>0</v>
      </c>
    </row>
    <row r="162" spans="2:6" s="34" customFormat="1" ht="15">
      <c r="B162" s="40" t="s">
        <v>119</v>
      </c>
      <c r="C162" s="31"/>
      <c r="D162" s="32"/>
      <c r="E162" s="27"/>
      <c r="F162" s="25">
        <f t="shared" si="4"/>
        <v>0</v>
      </c>
    </row>
    <row r="163" spans="2:6" s="34" customFormat="1" ht="12.75">
      <c r="B163" s="30"/>
      <c r="C163" s="31"/>
      <c r="D163" s="32"/>
      <c r="E163" s="27"/>
      <c r="F163" s="25">
        <f t="shared" si="4"/>
        <v>0</v>
      </c>
    </row>
    <row r="164" spans="2:6" s="34" customFormat="1" ht="12.75">
      <c r="B164" s="30" t="s">
        <v>120</v>
      </c>
      <c r="C164" s="31">
        <v>1</v>
      </c>
      <c r="D164" s="32" t="s">
        <v>11</v>
      </c>
      <c r="E164" s="27">
        <v>30000</v>
      </c>
      <c r="F164" s="25">
        <f t="shared" si="4"/>
        <v>30000</v>
      </c>
    </row>
    <row r="165" spans="2:6" s="34" customFormat="1" ht="12.75" hidden="1">
      <c r="B165" s="30" t="s">
        <v>121</v>
      </c>
      <c r="C165" s="31"/>
      <c r="D165" s="32" t="s">
        <v>13</v>
      </c>
      <c r="E165" s="27">
        <v>15</v>
      </c>
      <c r="F165" s="25">
        <f t="shared" si="4"/>
        <v>0</v>
      </c>
    </row>
    <row r="166" spans="2:6" s="34" customFormat="1" ht="12.75" hidden="1">
      <c r="B166" s="30" t="s">
        <v>122</v>
      </c>
      <c r="C166" s="31"/>
      <c r="D166" s="32" t="s">
        <v>11</v>
      </c>
      <c r="E166" s="27">
        <v>25000</v>
      </c>
      <c r="F166" s="25">
        <f>E166*C166</f>
        <v>0</v>
      </c>
    </row>
    <row r="167" spans="2:6" s="34" customFormat="1" ht="12.75" hidden="1">
      <c r="B167" s="26" t="s">
        <v>123</v>
      </c>
      <c r="C167" s="31"/>
      <c r="D167" s="32" t="s">
        <v>11</v>
      </c>
      <c r="E167" s="27">
        <f>H4*4</f>
        <v>14700</v>
      </c>
      <c r="F167" s="25">
        <f t="shared" si="4"/>
        <v>0</v>
      </c>
    </row>
    <row r="168" spans="2:6" s="34" customFormat="1" ht="12.75">
      <c r="B168" s="30"/>
      <c r="C168" s="31"/>
      <c r="D168" s="32"/>
      <c r="E168" s="27"/>
      <c r="F168" s="25"/>
    </row>
    <row r="169" spans="2:8" s="34" customFormat="1" ht="15">
      <c r="B169" s="40" t="s">
        <v>124</v>
      </c>
      <c r="C169" s="31"/>
      <c r="D169" s="32"/>
      <c r="E169" s="27"/>
      <c r="F169" s="27">
        <f>E169*C169</f>
        <v>0</v>
      </c>
      <c r="H169" s="42">
        <f>SUM(F114:F170)</f>
        <v>1464370</v>
      </c>
    </row>
    <row r="170" spans="2:6" s="34" customFormat="1" ht="12.75">
      <c r="B170" s="30"/>
      <c r="C170" s="31"/>
      <c r="D170" s="32"/>
      <c r="E170" s="27"/>
      <c r="F170" s="27">
        <f>E170*C170</f>
        <v>0</v>
      </c>
    </row>
    <row r="171" spans="2:6" s="34" customFormat="1" ht="15">
      <c r="B171" s="40" t="s">
        <v>125</v>
      </c>
      <c r="C171" s="31">
        <v>3</v>
      </c>
      <c r="D171" s="32" t="s">
        <v>126</v>
      </c>
      <c r="E171" s="27">
        <f>H169</f>
        <v>1464370</v>
      </c>
      <c r="F171" s="27">
        <f>E171*C171/100</f>
        <v>43931.1</v>
      </c>
    </row>
    <row r="172" spans="2:9" s="34" customFormat="1" ht="15">
      <c r="B172" s="40" t="s">
        <v>127</v>
      </c>
      <c r="C172" s="31">
        <v>5</v>
      </c>
      <c r="D172" s="32" t="s">
        <v>126</v>
      </c>
      <c r="E172" s="27">
        <f>F171+H169</f>
        <v>1508301.1</v>
      </c>
      <c r="F172" s="27">
        <f>E172*C172/100</f>
        <v>75415.055</v>
      </c>
      <c r="I172" s="42"/>
    </row>
    <row r="173" spans="2:11" s="34" customFormat="1" ht="15">
      <c r="B173" s="40" t="s">
        <v>128</v>
      </c>
      <c r="C173" s="31">
        <v>8</v>
      </c>
      <c r="D173" s="32" t="s">
        <v>126</v>
      </c>
      <c r="E173" s="27">
        <f>F172+F171+H169</f>
        <v>1583716.155</v>
      </c>
      <c r="F173" s="27">
        <f>E173*C173/100</f>
        <v>126697.2924</v>
      </c>
      <c r="K173" s="42"/>
    </row>
    <row r="174" spans="2:6" ht="12.75">
      <c r="B174" s="26"/>
      <c r="C174" s="23"/>
      <c r="D174" s="24"/>
      <c r="E174" s="25"/>
      <c r="F174" s="25"/>
    </row>
    <row r="175" spans="2:6" ht="12.75">
      <c r="B175" s="26"/>
      <c r="C175" s="23"/>
      <c r="D175" s="24"/>
      <c r="E175" s="25"/>
      <c r="F175" s="25"/>
    </row>
    <row r="176" spans="2:6" ht="15">
      <c r="B176" s="22" t="s">
        <v>129</v>
      </c>
      <c r="C176" s="23"/>
      <c r="D176" s="24"/>
      <c r="E176" s="25"/>
      <c r="F176" s="25"/>
    </row>
    <row r="177" spans="2:6" ht="12.75">
      <c r="B177" s="26"/>
      <c r="C177" s="23"/>
      <c r="D177" s="24"/>
      <c r="E177" s="25"/>
      <c r="F177" s="25"/>
    </row>
    <row r="178" spans="2:6" ht="38.25">
      <c r="B178" s="30" t="s">
        <v>130</v>
      </c>
      <c r="C178" s="23">
        <f>35+22</f>
        <v>57</v>
      </c>
      <c r="D178" s="24" t="s">
        <v>19</v>
      </c>
      <c r="E178" s="25">
        <v>6000</v>
      </c>
      <c r="F178" s="25">
        <f>E178*C178</f>
        <v>342000</v>
      </c>
    </row>
    <row r="179" spans="2:6" ht="12.75">
      <c r="B179" s="26"/>
      <c r="C179" s="23"/>
      <c r="D179" s="24"/>
      <c r="E179" s="25"/>
      <c r="F179" s="25"/>
    </row>
    <row r="180" spans="2:6" ht="15">
      <c r="B180" s="38" t="s">
        <v>131</v>
      </c>
      <c r="C180" s="31"/>
      <c r="D180" s="32"/>
      <c r="E180" s="27"/>
      <c r="F180" s="27">
        <f aca="true" t="shared" si="5" ref="F180:F193">E180*C180</f>
        <v>0</v>
      </c>
    </row>
    <row r="181" spans="2:6" ht="12.75">
      <c r="B181" s="30"/>
      <c r="C181" s="31"/>
      <c r="D181" s="32"/>
      <c r="E181" s="27"/>
      <c r="F181" s="27">
        <f t="shared" si="5"/>
        <v>0</v>
      </c>
    </row>
    <row r="182" spans="2:6" ht="12.75">
      <c r="B182" s="43" t="s">
        <v>132</v>
      </c>
      <c r="C182" s="31">
        <v>22</v>
      </c>
      <c r="D182" s="32" t="s">
        <v>126</v>
      </c>
      <c r="E182" s="27">
        <f>SUM(F11:F179)</f>
        <v>5658553.947399999</v>
      </c>
      <c r="F182" s="27">
        <f>E182*C182/100</f>
        <v>1244881.8684279998</v>
      </c>
    </row>
    <row r="183" spans="2:6" ht="12.75">
      <c r="B183" s="30"/>
      <c r="C183" s="31"/>
      <c r="D183" s="32"/>
      <c r="E183" s="27"/>
      <c r="F183" s="27">
        <f t="shared" si="5"/>
        <v>0</v>
      </c>
    </row>
    <row r="184" spans="2:6" ht="15">
      <c r="B184" s="38" t="s">
        <v>133</v>
      </c>
      <c r="C184" s="31"/>
      <c r="D184" s="32"/>
      <c r="E184" s="27"/>
      <c r="F184" s="27">
        <f t="shared" si="5"/>
        <v>0</v>
      </c>
    </row>
    <row r="185" spans="2:6" ht="12.75">
      <c r="B185" s="30"/>
      <c r="C185" s="31"/>
      <c r="D185" s="32"/>
      <c r="E185" s="27"/>
      <c r="F185" s="27">
        <f t="shared" si="5"/>
        <v>0</v>
      </c>
    </row>
    <row r="186" spans="2:6" ht="12.75">
      <c r="B186" s="43" t="s">
        <v>132</v>
      </c>
      <c r="C186" s="31">
        <v>9.575</v>
      </c>
      <c r="D186" s="32" t="s">
        <v>126</v>
      </c>
      <c r="E186" s="27">
        <f>E182+F182</f>
        <v>6903435.815827999</v>
      </c>
      <c r="F186" s="27">
        <f>E186*C186/100</f>
        <v>661003.9793655309</v>
      </c>
    </row>
    <row r="187" spans="2:6" ht="12.75">
      <c r="B187" s="30"/>
      <c r="C187" s="31"/>
      <c r="D187" s="32"/>
      <c r="E187" s="27"/>
      <c r="F187" s="27">
        <f t="shared" si="5"/>
        <v>0</v>
      </c>
    </row>
    <row r="188" spans="2:6" ht="15">
      <c r="B188" s="38" t="s">
        <v>134</v>
      </c>
      <c r="C188" s="31"/>
      <c r="D188" s="32"/>
      <c r="E188" s="27"/>
      <c r="F188" s="27">
        <f t="shared" si="5"/>
        <v>0</v>
      </c>
    </row>
    <row r="189" spans="2:6" ht="12.75">
      <c r="B189" s="30"/>
      <c r="C189" s="31"/>
      <c r="D189" s="32"/>
      <c r="E189" s="27"/>
      <c r="F189" s="27">
        <f t="shared" si="5"/>
        <v>0</v>
      </c>
    </row>
    <row r="190" spans="2:6" ht="12.75">
      <c r="B190" s="43" t="s">
        <v>132</v>
      </c>
      <c r="C190" s="31">
        <v>7</v>
      </c>
      <c r="D190" s="32" t="s">
        <v>126</v>
      </c>
      <c r="E190" s="27">
        <f>E186+F186</f>
        <v>7564439.795193531</v>
      </c>
      <c r="F190" s="27">
        <f>E190*C190/100</f>
        <v>529510.7856635471</v>
      </c>
    </row>
    <row r="191" spans="2:6" ht="12.75">
      <c r="B191" s="30"/>
      <c r="C191" s="31"/>
      <c r="D191" s="32"/>
      <c r="E191" s="27"/>
      <c r="F191" s="27">
        <f>E191*C191</f>
        <v>0</v>
      </c>
    </row>
    <row r="192" spans="2:6" ht="12.75">
      <c r="B192" s="30"/>
      <c r="C192" s="31"/>
      <c r="D192" s="32"/>
      <c r="E192" s="27"/>
      <c r="F192" s="27">
        <f t="shared" si="5"/>
        <v>0</v>
      </c>
    </row>
    <row r="193" spans="2:6" ht="12.75">
      <c r="B193" s="30"/>
      <c r="C193" s="31"/>
      <c r="D193" s="32"/>
      <c r="E193" s="27"/>
      <c r="F193" s="27">
        <f t="shared" si="5"/>
        <v>0</v>
      </c>
    </row>
    <row r="194" spans="2:6" ht="12.75">
      <c r="B194" s="44"/>
      <c r="C194" s="45"/>
      <c r="D194" s="46"/>
      <c r="E194" s="47"/>
      <c r="F194" s="48"/>
    </row>
    <row r="195" spans="2:9" ht="15">
      <c r="B195" s="30"/>
      <c r="C195" s="49"/>
      <c r="D195" s="32"/>
      <c r="E195" s="50" t="s">
        <v>135</v>
      </c>
      <c r="F195" s="51">
        <f>SUM(F9:F193)</f>
        <v>8093950.580857078</v>
      </c>
      <c r="I195" s="52"/>
    </row>
    <row r="196" spans="2:6" ht="15">
      <c r="B196" s="30"/>
      <c r="C196" s="49"/>
      <c r="D196" s="32"/>
      <c r="E196" s="50"/>
      <c r="F196" s="51"/>
    </row>
    <row r="197" spans="2:6" ht="15">
      <c r="B197" s="30"/>
      <c r="C197" s="49"/>
      <c r="D197" s="32"/>
      <c r="E197" s="53" t="s">
        <v>136</v>
      </c>
      <c r="F197" s="51">
        <f>F195*0.15</f>
        <v>1214092.5871285617</v>
      </c>
    </row>
    <row r="198" spans="2:6" ht="15">
      <c r="B198" s="54"/>
      <c r="C198" s="55"/>
      <c r="D198" s="56"/>
      <c r="E198" s="57"/>
      <c r="F198" s="58"/>
    </row>
    <row r="199" spans="2:6" s="34" customFormat="1" ht="12.75">
      <c r="B199" s="44"/>
      <c r="C199" s="45"/>
      <c r="D199" s="46"/>
      <c r="E199" s="47"/>
      <c r="F199" s="48"/>
    </row>
    <row r="200" spans="2:9" s="34" customFormat="1" ht="15">
      <c r="B200" s="30"/>
      <c r="C200" s="49"/>
      <c r="D200" s="32"/>
      <c r="E200" s="50" t="s">
        <v>135</v>
      </c>
      <c r="F200" s="51">
        <f>F195+F197</f>
        <v>9308043.167985639</v>
      </c>
      <c r="I200" s="34" t="e">
        <f>F200/#REF!</f>
        <v>#REF!</v>
      </c>
    </row>
    <row r="201" spans="2:6" s="34" customFormat="1" ht="15">
      <c r="B201" s="30"/>
      <c r="C201" s="49"/>
      <c r="D201" s="32"/>
      <c r="E201" s="50"/>
      <c r="F201" s="51"/>
    </row>
    <row r="202" spans="2:6" s="34" customFormat="1" ht="15">
      <c r="B202" s="30"/>
      <c r="C202" s="49"/>
      <c r="D202" s="32"/>
      <c r="E202" s="53" t="s">
        <v>138</v>
      </c>
      <c r="F202" s="51">
        <f>F200*0.236*0</f>
        <v>0</v>
      </c>
    </row>
    <row r="203" spans="2:6" s="34" customFormat="1" ht="15">
      <c r="B203" s="54"/>
      <c r="C203" s="55"/>
      <c r="D203" s="56"/>
      <c r="E203" s="57"/>
      <c r="F203" s="58"/>
    </row>
    <row r="204" spans="2:6" ht="15">
      <c r="B204" s="30"/>
      <c r="C204" s="49"/>
      <c r="D204" s="32"/>
      <c r="E204" s="50" t="s">
        <v>7</v>
      </c>
      <c r="F204" s="51">
        <f>F200+F202</f>
        <v>9308043.167985639</v>
      </c>
    </row>
    <row r="205" spans="2:6" ht="12.75">
      <c r="B205" s="14"/>
      <c r="C205" s="59"/>
      <c r="D205" s="16"/>
      <c r="E205" s="60"/>
      <c r="F205" s="17"/>
    </row>
    <row r="206" ht="12.75">
      <c r="H206" s="52"/>
    </row>
    <row r="208" ht="15">
      <c r="B208" s="65" t="s">
        <v>137</v>
      </c>
    </row>
    <row r="209" ht="12.75">
      <c r="A209">
        <v>1</v>
      </c>
    </row>
    <row r="210" ht="12.75">
      <c r="A210">
        <v>2</v>
      </c>
    </row>
    <row r="211" ht="12.75">
      <c r="A211">
        <v>3</v>
      </c>
    </row>
    <row r="212" ht="12.75">
      <c r="A212">
        <v>4</v>
      </c>
    </row>
    <row r="213" ht="12.75">
      <c r="A213">
        <v>5</v>
      </c>
    </row>
    <row r="214" ht="12.75">
      <c r="A214">
        <v>6</v>
      </c>
    </row>
    <row r="215" ht="12.75">
      <c r="A215">
        <v>7</v>
      </c>
    </row>
    <row r="216" ht="12.75">
      <c r="A216">
        <v>8</v>
      </c>
    </row>
    <row r="217" ht="12.75">
      <c r="A217">
        <v>9</v>
      </c>
    </row>
    <row r="218" ht="12.75">
      <c r="A218">
        <v>10</v>
      </c>
    </row>
  </sheetData>
  <sheetProtection/>
  <printOptions/>
  <pageMargins left="0.75" right="0.75" top="1" bottom="1" header="0.5" footer="0.5"/>
  <pageSetup fitToHeight="3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Martin</dc:creator>
  <cp:keywords/>
  <dc:description/>
  <cp:lastModifiedBy>chrisda</cp:lastModifiedBy>
  <cp:lastPrinted>2013-09-05T14:32:50Z</cp:lastPrinted>
  <dcterms:created xsi:type="dcterms:W3CDTF">2013-08-19T11:49:54Z</dcterms:created>
  <dcterms:modified xsi:type="dcterms:W3CDTF">2013-09-05T14:33:11Z</dcterms:modified>
  <cp:category/>
  <cp:version/>
  <cp:contentType/>
  <cp:contentStatus/>
</cp:coreProperties>
</file>