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lambeth-my.sharepoint.com/personal/droopnarine_lambeth_gov_uk/Documents/Documents/HRE/FOI Requests/"/>
    </mc:Choice>
  </mc:AlternateContent>
  <xr:revisionPtr revIDLastSave="62" documentId="8_{7017028A-91F2-4B85-B09D-AD8AD9537609}" xr6:coauthVersionLast="47" xr6:coauthVersionMax="47" xr10:uidLastSave="{E8D82EAD-CB59-4E29-AB83-47A18A215DAD}"/>
  <bookViews>
    <workbookView xWindow="-28920" yWindow="-1530" windowWidth="29040" windowHeight="15840" xr2:uid="{00000000-000D-0000-FFFF-FFFF00000000}"/>
  </bookViews>
  <sheets>
    <sheet name="Main" sheetId="1" r:id="rId1"/>
    <sheet name="HIP, EV, LED" sheetId="2" r:id="rId2"/>
    <sheet name="PFI Calcs 3.85%" sheetId="3" r:id="rId3"/>
    <sheet name="Cycling" sheetId="4" r:id="rId4"/>
  </sheets>
  <externalReferences>
    <externalReference r:id="rId5"/>
  </externalReferences>
  <definedNames>
    <definedName name="_xlnm.Print_Area" localSheetId="2">'PFI Calcs 3.85%'!$A$1:$I$32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3" l="1"/>
  <c r="K31" i="3"/>
  <c r="E31" i="3"/>
  <c r="D31" i="3"/>
  <c r="C31" i="3"/>
  <c r="F31" i="3" s="1"/>
  <c r="F30" i="3"/>
  <c r="E30" i="3"/>
  <c r="C30" i="3"/>
  <c r="F29" i="3"/>
  <c r="E29" i="3"/>
  <c r="C29" i="3"/>
  <c r="E28" i="3"/>
  <c r="C28" i="3"/>
  <c r="F28" i="3" s="1"/>
  <c r="E27" i="3"/>
  <c r="C27" i="3"/>
  <c r="F27" i="3" s="1"/>
  <c r="F26" i="3"/>
  <c r="E26" i="3"/>
  <c r="C26" i="3"/>
  <c r="E25" i="3"/>
  <c r="C25" i="3"/>
  <c r="F25" i="3" s="1"/>
  <c r="F24" i="3"/>
  <c r="E24" i="3"/>
  <c r="C24" i="3"/>
  <c r="Q23" i="3"/>
  <c r="M23" i="3"/>
  <c r="M27" i="3" s="1"/>
  <c r="F23" i="3"/>
  <c r="E23" i="3"/>
  <c r="C23" i="3"/>
  <c r="E22" i="3"/>
  <c r="C22" i="3"/>
  <c r="F22" i="3" s="1"/>
  <c r="F21" i="3"/>
  <c r="E21" i="3"/>
  <c r="C21" i="3"/>
  <c r="G20" i="3"/>
  <c r="E20" i="3"/>
  <c r="E32" i="3" s="1"/>
  <c r="C20" i="3"/>
  <c r="F20" i="3" s="1"/>
  <c r="U19" i="3"/>
  <c r="C19" i="3"/>
  <c r="S11" i="3" s="1"/>
  <c r="S13" i="3" s="1"/>
  <c r="P15" i="3" s="1"/>
  <c r="C18" i="3"/>
  <c r="F18" i="3" s="1"/>
  <c r="H18" i="3" s="1"/>
  <c r="F17" i="3"/>
  <c r="H17" i="3" s="1"/>
  <c r="F16" i="3"/>
  <c r="H16" i="3" s="1"/>
  <c r="F15" i="3"/>
  <c r="H15" i="3" s="1"/>
  <c r="H14" i="3"/>
  <c r="F14" i="3"/>
  <c r="H13" i="3"/>
  <c r="F13" i="3"/>
  <c r="F12" i="3"/>
  <c r="H12" i="3" s="1"/>
  <c r="F11" i="3"/>
  <c r="H11" i="3" s="1"/>
  <c r="F10" i="3"/>
  <c r="H10" i="3" s="1"/>
  <c r="T9" i="3"/>
  <c r="S9" i="3"/>
  <c r="F9" i="3"/>
  <c r="H9" i="3" s="1"/>
  <c r="C8" i="3"/>
  <c r="F8" i="3" s="1"/>
  <c r="H8" i="3" s="1"/>
  <c r="U7" i="3"/>
  <c r="U9" i="3" s="1"/>
  <c r="C7" i="3"/>
  <c r="F7" i="3" s="1"/>
  <c r="H7" i="3" s="1"/>
  <c r="B6" i="3"/>
  <c r="B32" i="3" s="1"/>
  <c r="Z5" i="3"/>
  <c r="U5" i="3"/>
  <c r="AA5" i="3" s="1"/>
  <c r="F6" i="3" l="1"/>
  <c r="H20" i="3"/>
  <c r="Z7" i="3"/>
  <c r="Z9" i="3" s="1"/>
  <c r="AA7" i="3"/>
  <c r="AA9" i="3" s="1"/>
  <c r="C32" i="3"/>
  <c r="F19" i="3"/>
  <c r="W9" i="3"/>
  <c r="W7" i="3" s="1"/>
  <c r="G21" i="3"/>
  <c r="G34" i="3" l="1"/>
  <c r="H19" i="3"/>
  <c r="F32" i="3"/>
  <c r="H6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H21" i="3"/>
  <c r="G22" i="3"/>
  <c r="H22" i="3" l="1"/>
  <c r="I22" i="3" s="1"/>
  <c r="G23" i="3"/>
  <c r="I23" i="3" l="1"/>
  <c r="H23" i="3"/>
  <c r="G24" i="3"/>
  <c r="G25" i="3" l="1"/>
  <c r="H24" i="3"/>
  <c r="I24" i="3"/>
  <c r="G26" i="3" l="1"/>
  <c r="H25" i="3"/>
  <c r="I25" i="3" s="1"/>
  <c r="H26" i="3" l="1"/>
  <c r="I26" i="3" s="1"/>
  <c r="G27" i="3"/>
  <c r="H27" i="3" l="1"/>
  <c r="I27" i="3" s="1"/>
  <c r="G28" i="3"/>
  <c r="I28" i="3" l="1"/>
  <c r="H28" i="3"/>
  <c r="G29" i="3"/>
  <c r="G30" i="3" l="1"/>
  <c r="H29" i="3"/>
  <c r="I29" i="3" s="1"/>
  <c r="G31" i="3" l="1"/>
  <c r="H30" i="3"/>
  <c r="I30" i="3" s="1"/>
  <c r="H31" i="3" l="1"/>
  <c r="I31" i="3" s="1"/>
  <c r="G32" i="3"/>
  <c r="F16" i="2" l="1"/>
  <c r="E16" i="2"/>
  <c r="D16" i="2"/>
</calcChain>
</file>

<file path=xl/sharedStrings.xml><?xml version="1.0" encoding="utf-8"?>
<sst xmlns="http://schemas.openxmlformats.org/spreadsheetml/2006/main" count="112" uniqueCount="93">
  <si>
    <t>All information held on spending figures for road maintenance and infrastructure investment plans and proposals for Lambeth Council over the time period 1st Jan 2010 - 31st Dec 2020 or within the most recent ten-year period</t>
  </si>
  <si>
    <t>Information including:</t>
  </si>
  <si>
    <t xml:space="preserve">Spending figures for green recovery road investment plans - including cycle lanes </t>
  </si>
  <si>
    <t xml:space="preserve">Spending figures for Electric vehicle /charging point proposal and investments </t>
  </si>
  <si>
    <t>Spending figures for Pothole investment</t>
  </si>
  <si>
    <t xml:space="preserve">Spending figures for Road defect investment </t>
  </si>
  <si>
    <t>Spending figures for Sink hole prevention investment</t>
  </si>
  <si>
    <t>Spending figures for Drainage investment</t>
  </si>
  <si>
    <t>18/19</t>
  </si>
  <si>
    <t>19/20</t>
  </si>
  <si>
    <t>20/21</t>
  </si>
  <si>
    <t>Cycling Infrustructure</t>
  </si>
  <si>
    <t xml:space="preserve">Covid / LTN Projects </t>
  </si>
  <si>
    <t>17/18</t>
  </si>
  <si>
    <t>16/17</t>
  </si>
  <si>
    <t>15/16</t>
  </si>
  <si>
    <t>Spending figures for Lighting investment (LED Conversion Project)</t>
  </si>
  <si>
    <t>Spending figures for Road Investment proposals</t>
  </si>
  <si>
    <t>HIP Costs 2015-21</t>
  </si>
  <si>
    <t>LED Costs 2015-21</t>
  </si>
  <si>
    <t>EV Point Installation Costs 2015-21</t>
  </si>
  <si>
    <t>2015-16</t>
  </si>
  <si>
    <t>2016-17</t>
  </si>
  <si>
    <t>2017-18</t>
  </si>
  <si>
    <t>2018-19</t>
  </si>
  <si>
    <t>2019-20</t>
  </si>
  <si>
    <t>2020-21</t>
  </si>
  <si>
    <t xml:space="preserve">2021-22 to date </t>
  </si>
  <si>
    <t xml:space="preserve">Total </t>
  </si>
  <si>
    <t>Spending figures for Lighting investment (PFI Infrastructure Costs)</t>
  </si>
  <si>
    <t>PFI SMOOTHING RESERVE</t>
  </si>
  <si>
    <t>Receive in</t>
  </si>
  <si>
    <t>Payout to Lambeth Lighting</t>
  </si>
  <si>
    <t>Funds Available</t>
  </si>
  <si>
    <t>Unitary   Payment</t>
  </si>
  <si>
    <t>Smoothing Reserve</t>
  </si>
  <si>
    <t>Budget</t>
  </si>
  <si>
    <t>Actuals</t>
  </si>
  <si>
    <t>Variance</t>
  </si>
  <si>
    <t>I&amp;E</t>
  </si>
  <si>
    <t>Reserve</t>
  </si>
  <si>
    <t>Year</t>
  </si>
  <si>
    <t>PFI Credit</t>
  </si>
  <si>
    <t>Council</t>
  </si>
  <si>
    <t>Overspend compared to 2017-18 base</t>
  </si>
  <si>
    <t xml:space="preserve">Annual Uplift Compared To Previous Year </t>
  </si>
  <si>
    <t>Total</t>
  </si>
  <si>
    <t>(Surplus) /Deficit</t>
  </si>
  <si>
    <t>Balance</t>
  </si>
  <si>
    <t>£</t>
  </si>
  <si>
    <t>Income</t>
  </si>
  <si>
    <t>2005/06</t>
  </si>
  <si>
    <t>2006/07</t>
  </si>
  <si>
    <t>Payment to Lambeth</t>
  </si>
  <si>
    <t>2007/08</t>
  </si>
  <si>
    <t>2008/09</t>
  </si>
  <si>
    <t>Net Position</t>
  </si>
  <si>
    <t>2009/10</t>
  </si>
  <si>
    <t>2010/11</t>
  </si>
  <si>
    <t>Required</t>
  </si>
  <si>
    <t>2011/12</t>
  </si>
  <si>
    <t>2012/13</t>
  </si>
  <si>
    <t>Budget Pressure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</si>
  <si>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</si>
  <si>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</si>
  <si>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</si>
  <si>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</si>
  <si>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</si>
  <si>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</si>
  <si>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</si>
  <si>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</si>
  <si>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</si>
  <si>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Monthly Payment 2018-19</t>
  </si>
  <si>
    <t>2022/23</t>
  </si>
  <si>
    <t>Annual Cost 2018-19</t>
  </si>
  <si>
    <t>2023/24</t>
  </si>
  <si>
    <t>2024/25</t>
  </si>
  <si>
    <t xml:space="preserve">Less Grant </t>
  </si>
  <si>
    <t>2025/26</t>
  </si>
  <si>
    <t>2026/27</t>
  </si>
  <si>
    <t xml:space="preserve">Net Cost To Council </t>
  </si>
  <si>
    <t>2027/28</t>
  </si>
  <si>
    <t>2028/29</t>
  </si>
  <si>
    <t>2029/30</t>
  </si>
  <si>
    <t>2030/31</t>
  </si>
  <si>
    <t xml:space="preserve">Cycling Infrastructure - Annual Capital Cost By Year </t>
  </si>
  <si>
    <t xml:space="preserve">2019-20 </t>
  </si>
  <si>
    <t>2021-22</t>
  </si>
  <si>
    <t>None within Capital Studio</t>
  </si>
  <si>
    <t>Spending figures for General road maintenance investments</t>
  </si>
  <si>
    <t>Comment</t>
  </si>
  <si>
    <t>Included in General Investments</t>
  </si>
  <si>
    <t>No specific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</si>
</sst>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[Red]\(#,##0\)"/>
    <numFmt numFmtId="166" formatCode="#,##0.0;[Red]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3" fillId="0" borderId="0" xfId="0" applyFont="1" applyAlignment="1">
      <alignment vertical="center"/>
    </xf>
    <xf numFmtId="3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164" fontId="0" fillId="0" borderId="0" xfId="1" applyNumberFormat="1" applyFont="1"/>
    <xf numFmtId="164" fontId="0" fillId="0" borderId="0" xfId="1" applyNumberFormat="1" applyFont="1" applyFill="1"/>
    <xf numFmtId="164" fontId="5" fillId="0" borderId="0" xfId="0" applyNumberFormat="1" applyFont="1"/>
    <xf numFmtId="0" fontId="10" fillId="0" borderId="0" xfId="4" applyFont="1"/>
    <xf numFmtId="0" fontId="11" fillId="0" borderId="0" xfId="0" applyFont="1"/>
    <xf numFmtId="0" fontId="10" fillId="0" borderId="4" xfId="4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0" fontId="10" fillId="0" borderId="5" xfId="4" applyFont="1" applyBorder="1" applyAlignment="1">
      <alignment horizontal="center" wrapText="1"/>
    </xf>
    <xf numFmtId="0" fontId="11" fillId="0" borderId="5" xfId="4" applyFont="1" applyBorder="1"/>
    <xf numFmtId="165" fontId="0" fillId="0" borderId="0" xfId="0" applyNumberFormat="1"/>
    <xf numFmtId="0" fontId="11" fillId="0" borderId="4" xfId="4" applyFont="1" applyBorder="1"/>
    <xf numFmtId="165" fontId="11" fillId="2" borderId="4" xfId="1" applyNumberFormat="1" applyFont="1" applyFill="1" applyBorder="1"/>
    <xf numFmtId="0" fontId="11" fillId="0" borderId="7" xfId="4" applyFont="1" applyBorder="1"/>
    <xf numFmtId="165" fontId="11" fillId="0" borderId="4" xfId="1" applyNumberFormat="1" applyFont="1" applyBorder="1"/>
    <xf numFmtId="165" fontId="11" fillId="0" borderId="4" xfId="1" applyNumberFormat="1" applyFont="1" applyFill="1" applyBorder="1"/>
    <xf numFmtId="165" fontId="12" fillId="0" borderId="4" xfId="3" applyNumberFormat="1" applyFont="1" applyBorder="1"/>
    <xf numFmtId="165" fontId="11" fillId="3" borderId="4" xfId="1" applyNumberFormat="1" applyFont="1" applyFill="1" applyBorder="1"/>
    <xf numFmtId="166" fontId="0" fillId="0" borderId="0" xfId="0" applyNumberFormat="1"/>
    <xf numFmtId="0" fontId="11" fillId="0" borderId="6" xfId="4" applyFont="1" applyBorder="1"/>
    <xf numFmtId="165" fontId="11" fillId="2" borderId="5" xfId="1" applyNumberFormat="1" applyFont="1" applyFill="1" applyBorder="1"/>
    <xf numFmtId="165" fontId="11" fillId="0" borderId="5" xfId="1" applyNumberFormat="1" applyFont="1" applyBorder="1"/>
    <xf numFmtId="164" fontId="13" fillId="0" borderId="5" xfId="4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8" xfId="0" applyFont="1" applyBorder="1"/>
    <xf numFmtId="0" fontId="10" fillId="0" borderId="1" xfId="4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10" fillId="0" borderId="4" xfId="4" applyFont="1" applyBorder="1" applyAlignment="1">
      <alignment horizontal="center" vertical="top" wrapText="1"/>
    </xf>
    <xf numFmtId="0" fontId="10" fillId="0" borderId="6" xfId="4" applyFont="1" applyBorder="1" applyAlignment="1">
      <alignment horizontal="center" vertical="top" wrapText="1"/>
    </xf>
  </cellXfs>
  <cellStyles count="5">
    <cellStyle name="%" xfId="4" xr:uid="{34720556-6377-41C8-9ED9-C55C6E79464A}"/>
    <cellStyle name="Comma" xfId="1" builtinId="3"/>
    <cellStyle name="Comma 2" xfId="2" xr:uid="{DBB013BA-30A6-4642-8C31-ADDBFE461766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lall\Local%20Settings\Temporary%20Internet%20Files\Content.Outlook\IJL19KTT\PFI%20Model%20-%20Streetligh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oothing Reserve"/>
      <sheetName val="Smoothing Reserve revised"/>
      <sheetName val="Summary"/>
      <sheetName val="0809 entries-St Light "/>
      <sheetName val="0708 entries-St Light"/>
      <sheetName val="0607 entries-St Light-Amended"/>
      <sheetName val="0506 entries"/>
      <sheetName val="Year 1"/>
      <sheetName val="Year 2"/>
      <sheetName val="Year 3"/>
      <sheetName val="Year 4"/>
      <sheetName val="Year 5"/>
      <sheetName val="Years 3-25"/>
      <sheetName val="PFI Credits"/>
      <sheetName val="Prepayment"/>
      <sheetName val="Residual Assets"/>
      <sheetName val="YR5-6 UC projections"/>
      <sheetName val="Final PFI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D5">
            <v>-461599.4560268317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"/>
  <sheetViews>
    <sheetView tabSelected="1" workbookViewId="0">
      <selection activeCell="A25" sqref="A25"/>
    </sheetView>
  </sheetViews>
  <sheetFormatPr defaultRowHeight="15" x14ac:dyDescent="0.25"/>
  <cols>
    <col min="1" max="1" width="100.140625" customWidth="1"/>
    <col min="2" max="7" width="14.7109375" customWidth="1"/>
    <col min="8" max="8" width="50.7109375" customWidth="1"/>
  </cols>
  <sheetData>
    <row r="2" spans="1:8" x14ac:dyDescent="0.25">
      <c r="A2" t="s">
        <v>0</v>
      </c>
    </row>
    <row r="3" spans="1:8" x14ac:dyDescent="0.25">
      <c r="A3" s="1" t="s">
        <v>1</v>
      </c>
    </row>
    <row r="4" spans="1:8" x14ac:dyDescent="0.25">
      <c r="A4" s="1"/>
      <c r="B4" s="7" t="s">
        <v>15</v>
      </c>
      <c r="C4" s="7" t="s">
        <v>14</v>
      </c>
      <c r="D4" s="7" t="s">
        <v>13</v>
      </c>
      <c r="E4" s="7" t="s">
        <v>8</v>
      </c>
      <c r="F4" s="7" t="s">
        <v>9</v>
      </c>
      <c r="G4" s="7" t="s">
        <v>10</v>
      </c>
      <c r="H4" s="7" t="s">
        <v>90</v>
      </c>
    </row>
    <row r="5" spans="1:8" x14ac:dyDescent="0.25">
      <c r="A5" s="1"/>
    </row>
    <row r="6" spans="1:8" x14ac:dyDescent="0.25">
      <c r="A6" s="3" t="s">
        <v>2</v>
      </c>
    </row>
    <row r="7" spans="1:8" x14ac:dyDescent="0.25">
      <c r="A7" s="5" t="s">
        <v>11</v>
      </c>
      <c r="B7" s="6">
        <v>717362</v>
      </c>
      <c r="C7" s="6">
        <v>992437</v>
      </c>
      <c r="D7" s="6">
        <v>898411</v>
      </c>
      <c r="E7" s="6">
        <v>479043</v>
      </c>
      <c r="F7" s="6">
        <v>937022</v>
      </c>
      <c r="G7" s="6">
        <v>1040441</v>
      </c>
    </row>
    <row r="8" spans="1:8" x14ac:dyDescent="0.25">
      <c r="A8" s="5" t="s">
        <v>12</v>
      </c>
      <c r="G8" s="6">
        <v>2002155</v>
      </c>
    </row>
    <row r="9" spans="1:8" x14ac:dyDescent="0.25">
      <c r="A9" s="2"/>
    </row>
    <row r="10" spans="1:8" x14ac:dyDescent="0.25">
      <c r="A10" s="3" t="s">
        <v>89</v>
      </c>
      <c r="B10" s="6">
        <v>10034387</v>
      </c>
      <c r="C10" s="6">
        <v>9286785</v>
      </c>
      <c r="D10" s="6">
        <v>3587582</v>
      </c>
      <c r="E10" s="6">
        <v>4018830</v>
      </c>
      <c r="F10" s="6">
        <v>4288774</v>
      </c>
      <c r="G10" s="6">
        <v>2790637</v>
      </c>
    </row>
    <row r="11" spans="1:8" x14ac:dyDescent="0.25">
      <c r="A11" s="2"/>
    </row>
    <row r="12" spans="1:8" x14ac:dyDescent="0.25">
      <c r="A12" s="3" t="s">
        <v>17</v>
      </c>
      <c r="B12" s="6"/>
      <c r="C12" s="6"/>
      <c r="D12" s="6"/>
      <c r="E12" s="6"/>
      <c r="F12" s="6"/>
      <c r="G12" s="6"/>
      <c r="H12" t="s">
        <v>91</v>
      </c>
    </row>
    <row r="13" spans="1:8" x14ac:dyDescent="0.25">
      <c r="A13" s="2"/>
    </row>
    <row r="14" spans="1:8" x14ac:dyDescent="0.25">
      <c r="A14" s="3" t="s">
        <v>3</v>
      </c>
      <c r="D14" s="6">
        <v>16497</v>
      </c>
      <c r="E14" s="6">
        <v>365502</v>
      </c>
      <c r="F14" s="6">
        <v>206803</v>
      </c>
      <c r="G14" s="6">
        <v>350169</v>
      </c>
    </row>
    <row r="15" spans="1:8" x14ac:dyDescent="0.25">
      <c r="A15" s="2"/>
    </row>
    <row r="16" spans="1:8" x14ac:dyDescent="0.25">
      <c r="A16" s="3" t="s">
        <v>4</v>
      </c>
      <c r="E16" s="4">
        <v>14318</v>
      </c>
      <c r="F16" s="4">
        <v>46981.799999999857</v>
      </c>
      <c r="G16" s="4">
        <v>6164.71</v>
      </c>
    </row>
    <row r="17" spans="1:8" x14ac:dyDescent="0.25">
      <c r="A17" s="2"/>
    </row>
    <row r="18" spans="1:8" x14ac:dyDescent="0.25">
      <c r="A18" s="3" t="s">
        <v>5</v>
      </c>
      <c r="H18" t="s">
        <v>91</v>
      </c>
    </row>
    <row r="19" spans="1:8" x14ac:dyDescent="0.25">
      <c r="A19" s="2"/>
    </row>
    <row r="20" spans="1:8" x14ac:dyDescent="0.25">
      <c r="A20" s="3" t="s">
        <v>6</v>
      </c>
      <c r="H20" t="s">
        <v>92</v>
      </c>
    </row>
    <row r="21" spans="1:8" x14ac:dyDescent="0.25">
      <c r="A21" s="2"/>
    </row>
    <row r="22" spans="1:8" x14ac:dyDescent="0.25">
      <c r="A22" s="3" t="s">
        <v>16</v>
      </c>
      <c r="B22" s="6">
        <v>17120</v>
      </c>
      <c r="C22" s="6">
        <v>2857175</v>
      </c>
      <c r="D22" s="6">
        <v>1998402</v>
      </c>
      <c r="E22" s="6">
        <v>112189</v>
      </c>
      <c r="F22" s="6">
        <v>1164305</v>
      </c>
      <c r="G22" s="6">
        <v>87878</v>
      </c>
    </row>
    <row r="23" spans="1:8" x14ac:dyDescent="0.25">
      <c r="A23" s="3" t="s">
        <v>29</v>
      </c>
      <c r="B23" s="6">
        <v>2676620.9027421912</v>
      </c>
      <c r="C23" s="6">
        <v>2660886.7487771306</v>
      </c>
      <c r="D23" s="6">
        <v>2663876.1583165694</v>
      </c>
      <c r="E23" s="6">
        <v>2688284</v>
      </c>
      <c r="F23" s="6">
        <v>2742049.68</v>
      </c>
      <c r="G23" s="6">
        <v>2796890.6736000003</v>
      </c>
    </row>
    <row r="24" spans="1:8" x14ac:dyDescent="0.25">
      <c r="A24" s="2"/>
    </row>
    <row r="25" spans="1:8" x14ac:dyDescent="0.25">
      <c r="A25" s="3" t="s">
        <v>7</v>
      </c>
      <c r="H25" t="s">
        <v>91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6F4D-F698-4802-B55E-9AF4B76CF8CA}">
  <dimension ref="C4:F16"/>
  <sheetViews>
    <sheetView workbookViewId="0">
      <selection activeCell="F10" sqref="F10:F13"/>
    </sheetView>
  </sheetViews>
  <sheetFormatPr defaultRowHeight="15" x14ac:dyDescent="0.25"/>
  <cols>
    <col min="3" max="3" width="16.7109375" customWidth="1"/>
    <col min="4" max="4" width="17.28515625" customWidth="1"/>
    <col min="5" max="5" width="25.85546875" customWidth="1"/>
    <col min="6" max="6" width="37.140625" customWidth="1"/>
    <col min="7" max="8" width="15.42578125" customWidth="1"/>
  </cols>
  <sheetData>
    <row r="4" spans="3:6" x14ac:dyDescent="0.25">
      <c r="D4" s="8" t="s">
        <v>18</v>
      </c>
      <c r="E4" s="8" t="s">
        <v>19</v>
      </c>
      <c r="F4" s="8" t="s">
        <v>20</v>
      </c>
    </row>
    <row r="6" spans="3:6" x14ac:dyDescent="0.25">
      <c r="D6" s="9"/>
    </row>
    <row r="8" spans="3:6" x14ac:dyDescent="0.25">
      <c r="C8" t="s">
        <v>21</v>
      </c>
      <c r="D8" s="10">
        <v>10034387</v>
      </c>
      <c r="E8" s="10">
        <v>17120</v>
      </c>
      <c r="F8" s="10"/>
    </row>
    <row r="9" spans="3:6" x14ac:dyDescent="0.25">
      <c r="C9" t="s">
        <v>22</v>
      </c>
      <c r="D9" s="11">
        <v>9286785</v>
      </c>
      <c r="E9" s="10">
        <v>2857175</v>
      </c>
      <c r="F9" s="10"/>
    </row>
    <row r="10" spans="3:6" x14ac:dyDescent="0.25">
      <c r="C10" t="s">
        <v>23</v>
      </c>
      <c r="D10" s="11">
        <v>3587582</v>
      </c>
      <c r="E10" s="10">
        <v>1998402</v>
      </c>
      <c r="F10" s="10">
        <v>16497</v>
      </c>
    </row>
    <row r="11" spans="3:6" x14ac:dyDescent="0.25">
      <c r="C11" t="s">
        <v>24</v>
      </c>
      <c r="D11" s="11">
        <v>4018830</v>
      </c>
      <c r="E11" s="10">
        <v>112189</v>
      </c>
      <c r="F11" s="10">
        <v>365502</v>
      </c>
    </row>
    <row r="12" spans="3:6" x14ac:dyDescent="0.25">
      <c r="C12" t="s">
        <v>25</v>
      </c>
      <c r="D12" s="11">
        <v>4288774</v>
      </c>
      <c r="E12" s="10">
        <v>1164305</v>
      </c>
      <c r="F12" s="10">
        <v>206803</v>
      </c>
    </row>
    <row r="13" spans="3:6" x14ac:dyDescent="0.25">
      <c r="C13" t="s">
        <v>26</v>
      </c>
      <c r="D13" s="11">
        <v>2790637</v>
      </c>
      <c r="E13" s="10">
        <v>87878</v>
      </c>
      <c r="F13" s="10">
        <v>350169</v>
      </c>
    </row>
    <row r="14" spans="3:6" x14ac:dyDescent="0.25">
      <c r="C14" t="s">
        <v>27</v>
      </c>
      <c r="D14" s="11">
        <v>952026</v>
      </c>
      <c r="E14" s="10">
        <v>74583</v>
      </c>
      <c r="F14" s="10">
        <v>22405</v>
      </c>
    </row>
    <row r="16" spans="3:6" x14ac:dyDescent="0.25">
      <c r="C16" s="9" t="s">
        <v>28</v>
      </c>
      <c r="D16" s="12">
        <f>SUM(D8:D15)</f>
        <v>34959021</v>
      </c>
      <c r="E16" s="12">
        <f>SUM(E8:E15)</f>
        <v>6311652</v>
      </c>
      <c r="F16" s="12">
        <f>SUM(F8:F15)</f>
        <v>961376</v>
      </c>
    </row>
  </sheetData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FBFE-B3C2-4B28-A309-5B2BE5C8B250}">
  <sheetPr>
    <pageSetUpPr fitToPage="1"/>
  </sheetPr>
  <dimension ref="A1:AA43"/>
  <sheetViews>
    <sheetView zoomScale="75" zoomScaleNormal="75" workbookViewId="0">
      <selection activeCell="M15" sqref="M15"/>
    </sheetView>
  </sheetViews>
  <sheetFormatPr defaultRowHeight="15" x14ac:dyDescent="0.25"/>
  <cols>
    <col min="2" max="2" width="10.5703125" customWidth="1"/>
    <col min="3" max="3" width="12.42578125" customWidth="1"/>
    <col min="4" max="4" width="10.7109375" customWidth="1"/>
    <col min="5" max="5" width="8.7109375" customWidth="1"/>
    <col min="6" max="6" width="10" customWidth="1"/>
    <col min="7" max="7" width="9.85546875" customWidth="1"/>
    <col min="8" max="8" width="8.42578125" customWidth="1"/>
    <col min="9" max="9" width="11.140625" customWidth="1"/>
    <col min="11" max="11" width="10.5703125" bestFit="1" customWidth="1"/>
    <col min="12" max="12" width="20.7109375" customWidth="1"/>
    <col min="13" max="13" width="20.28515625" customWidth="1"/>
    <col min="14" max="14" width="2.140625" customWidth="1"/>
    <col min="15" max="16" width="10.5703125" bestFit="1" customWidth="1"/>
    <col min="18" max="18" width="2.85546875" customWidth="1"/>
    <col min="19" max="19" width="13" customWidth="1"/>
    <col min="20" max="20" width="12.28515625" customWidth="1"/>
    <col min="23" max="23" width="13.28515625" customWidth="1"/>
  </cols>
  <sheetData>
    <row r="1" spans="1:27" x14ac:dyDescent="0.25">
      <c r="A1" s="13" t="s">
        <v>30</v>
      </c>
      <c r="B1" s="14"/>
      <c r="C1" s="14"/>
      <c r="D1" s="14"/>
      <c r="E1" s="14"/>
      <c r="F1" s="14"/>
      <c r="G1" s="14"/>
      <c r="H1" s="14"/>
      <c r="I1" s="14"/>
    </row>
    <row r="2" spans="1:27" x14ac:dyDescent="0.25">
      <c r="A2" s="14"/>
      <c r="B2" s="14" t="s">
        <v>31</v>
      </c>
      <c r="C2" s="14" t="s">
        <v>31</v>
      </c>
      <c r="D2" s="14"/>
      <c r="E2" s="14"/>
      <c r="F2" s="14"/>
      <c r="G2" s="14" t="s">
        <v>32</v>
      </c>
      <c r="H2" s="14"/>
      <c r="I2" s="14"/>
      <c r="S2" t="s">
        <v>23</v>
      </c>
      <c r="T2" t="s">
        <v>22</v>
      </c>
      <c r="W2" t="s">
        <v>23</v>
      </c>
    </row>
    <row r="3" spans="1:27" x14ac:dyDescent="0.25">
      <c r="A3" s="14"/>
      <c r="B3" s="35" t="s">
        <v>33</v>
      </c>
      <c r="C3" s="36"/>
      <c r="D3" s="36"/>
      <c r="E3" s="36"/>
      <c r="F3" s="37"/>
      <c r="G3" s="38" t="s">
        <v>34</v>
      </c>
      <c r="H3" s="35" t="s">
        <v>35</v>
      </c>
      <c r="I3" s="37"/>
      <c r="S3" t="s">
        <v>36</v>
      </c>
      <c r="T3" t="s">
        <v>37</v>
      </c>
      <c r="U3" t="s">
        <v>38</v>
      </c>
      <c r="Z3" t="s">
        <v>39</v>
      </c>
      <c r="AA3" t="s">
        <v>40</v>
      </c>
    </row>
    <row r="4" spans="1:27" ht="78" customHeight="1" x14ac:dyDescent="0.25">
      <c r="A4" s="15" t="s">
        <v>41</v>
      </c>
      <c r="B4" s="16" t="s">
        <v>42</v>
      </c>
      <c r="C4" s="16" t="s">
        <v>43</v>
      </c>
      <c r="D4" s="17" t="s">
        <v>44</v>
      </c>
      <c r="E4" s="17" t="s">
        <v>45</v>
      </c>
      <c r="F4" s="16" t="s">
        <v>46</v>
      </c>
      <c r="G4" s="39"/>
      <c r="H4" s="17" t="s">
        <v>47</v>
      </c>
      <c r="I4" s="16" t="s">
        <v>48</v>
      </c>
    </row>
    <row r="5" spans="1:27" x14ac:dyDescent="0.25">
      <c r="A5" s="18"/>
      <c r="B5" s="16" t="s">
        <v>49</v>
      </c>
      <c r="C5" s="16" t="s">
        <v>49</v>
      </c>
      <c r="D5" s="16"/>
      <c r="E5" s="16"/>
      <c r="F5" s="16" t="s">
        <v>49</v>
      </c>
      <c r="G5" s="16" t="s">
        <v>49</v>
      </c>
      <c r="H5" s="16" t="s">
        <v>49</v>
      </c>
      <c r="I5" s="16" t="s">
        <v>49</v>
      </c>
      <c r="Q5" t="s">
        <v>50</v>
      </c>
      <c r="S5" s="19">
        <v>-1405000</v>
      </c>
      <c r="T5" s="19">
        <v>-1387656</v>
      </c>
      <c r="U5" s="19">
        <f>+S5-T5</f>
        <v>-17344</v>
      </c>
      <c r="V5" s="19"/>
      <c r="W5" s="19">
        <v>-1388000</v>
      </c>
      <c r="X5" s="19"/>
      <c r="Z5" s="19">
        <f>-U5</f>
        <v>17344</v>
      </c>
      <c r="AA5" s="19">
        <f>+U5</f>
        <v>-17344</v>
      </c>
    </row>
    <row r="6" spans="1:27" x14ac:dyDescent="0.25">
      <c r="A6" s="20" t="s">
        <v>51</v>
      </c>
      <c r="B6" s="21">
        <f>-'[1]PFI Credits'!D5</f>
        <v>461599.4560268317</v>
      </c>
      <c r="C6" s="21">
        <v>319675.41741345945</v>
      </c>
      <c r="D6" s="21"/>
      <c r="E6" s="21"/>
      <c r="F6" s="21">
        <f>SUM(B6:E6)</f>
        <v>781274.87344029115</v>
      </c>
      <c r="G6" s="21">
        <v>451349.37</v>
      </c>
      <c r="H6" s="21">
        <f t="shared" ref="H6:H31" si="0">+G6-F6</f>
        <v>-329925.50344029116</v>
      </c>
      <c r="I6" s="21">
        <f>+H6</f>
        <v>-329925.50344029116</v>
      </c>
      <c r="S6" s="19"/>
      <c r="T6" s="19"/>
    </row>
    <row r="7" spans="1:27" x14ac:dyDescent="0.25">
      <c r="A7" s="22" t="s">
        <v>52</v>
      </c>
      <c r="B7" s="21">
        <v>1387656</v>
      </c>
      <c r="C7" s="21">
        <f>G7-B7-86040</f>
        <v>538471.9738697724</v>
      </c>
      <c r="D7" s="21"/>
      <c r="E7" s="21"/>
      <c r="F7" s="21">
        <f t="shared" ref="F7:F18" si="1">SUM(B7:E7)</f>
        <v>1926127.9738697724</v>
      </c>
      <c r="G7" s="21">
        <v>2012167.9738697724</v>
      </c>
      <c r="H7" s="21">
        <f t="shared" si="0"/>
        <v>86040</v>
      </c>
      <c r="I7" s="21">
        <f>+I6+H7</f>
        <v>-243885.50344029116</v>
      </c>
      <c r="Q7" t="s">
        <v>53</v>
      </c>
      <c r="S7" s="19">
        <v>2585000</v>
      </c>
      <c r="T7" s="19">
        <v>2663876</v>
      </c>
      <c r="U7" s="19">
        <f>+T7-S7</f>
        <v>78876</v>
      </c>
      <c r="V7" s="19"/>
      <c r="W7" s="19">
        <f>+W9-W5</f>
        <v>2568000</v>
      </c>
      <c r="X7" s="19"/>
      <c r="Z7" s="19">
        <f>+U7</f>
        <v>78876</v>
      </c>
      <c r="AA7" s="19">
        <f>-U7</f>
        <v>-78876</v>
      </c>
    </row>
    <row r="8" spans="1:27" x14ac:dyDescent="0.25">
      <c r="A8" s="22" t="s">
        <v>54</v>
      </c>
      <c r="B8" s="21">
        <v>1387656</v>
      </c>
      <c r="C8" s="21">
        <f>G8-B8</f>
        <v>986333.88136580214</v>
      </c>
      <c r="D8" s="21"/>
      <c r="E8" s="21"/>
      <c r="F8" s="21">
        <f t="shared" si="1"/>
        <v>2373989.8813658021</v>
      </c>
      <c r="G8" s="21">
        <v>2373989.8813658021</v>
      </c>
      <c r="H8" s="21">
        <f t="shared" si="0"/>
        <v>0</v>
      </c>
      <c r="I8" s="21">
        <f t="shared" ref="I8:I31" si="2">+I7+H8</f>
        <v>-243885.50344029116</v>
      </c>
      <c r="S8" s="19"/>
      <c r="T8" s="19"/>
    </row>
    <row r="9" spans="1:27" x14ac:dyDescent="0.25">
      <c r="A9" s="22" t="s">
        <v>55</v>
      </c>
      <c r="B9" s="21">
        <v>1387656</v>
      </c>
      <c r="C9" s="21">
        <v>1180000</v>
      </c>
      <c r="D9" s="21">
        <v>292254.14886183199</v>
      </c>
      <c r="E9" s="21"/>
      <c r="F9" s="21">
        <f t="shared" si="1"/>
        <v>2859910.148861832</v>
      </c>
      <c r="G9" s="21">
        <v>2859910.148861832</v>
      </c>
      <c r="H9" s="21">
        <f t="shared" si="0"/>
        <v>0</v>
      </c>
      <c r="I9" s="21">
        <f t="shared" si="2"/>
        <v>-243885.50344029116</v>
      </c>
      <c r="Q9" t="s">
        <v>56</v>
      </c>
      <c r="S9" s="19">
        <f>+S7+S5</f>
        <v>1180000</v>
      </c>
      <c r="T9" s="19">
        <f>+T7+T5</f>
        <v>1276220</v>
      </c>
      <c r="U9" s="19">
        <f>U7-U5</f>
        <v>96220</v>
      </c>
      <c r="V9" s="19"/>
      <c r="W9" s="19">
        <f>C19</f>
        <v>1180000</v>
      </c>
      <c r="X9" s="19"/>
      <c r="Z9" s="19">
        <f>SUM(Z5:Z8)</f>
        <v>96220</v>
      </c>
      <c r="AA9" s="19">
        <f>+AA5+AA7</f>
        <v>-96220</v>
      </c>
    </row>
    <row r="10" spans="1:27" x14ac:dyDescent="0.25">
      <c r="A10" s="22" t="s">
        <v>57</v>
      </c>
      <c r="B10" s="21">
        <v>1387656</v>
      </c>
      <c r="C10" s="21">
        <v>1180000</v>
      </c>
      <c r="D10" s="21">
        <v>38041.776453149505</v>
      </c>
      <c r="E10" s="21"/>
      <c r="F10" s="21">
        <f t="shared" si="1"/>
        <v>2605697.7764531495</v>
      </c>
      <c r="G10" s="21">
        <v>2605697.7764531495</v>
      </c>
      <c r="H10" s="21">
        <f t="shared" si="0"/>
        <v>0</v>
      </c>
      <c r="I10" s="21">
        <f t="shared" si="2"/>
        <v>-243885.50344029116</v>
      </c>
    </row>
    <row r="11" spans="1:27" x14ac:dyDescent="0.25">
      <c r="A11" s="22" t="s">
        <v>58</v>
      </c>
      <c r="B11" s="21">
        <v>1387656</v>
      </c>
      <c r="C11" s="21">
        <v>1180000</v>
      </c>
      <c r="D11" s="21">
        <v>53243.633827421814</v>
      </c>
      <c r="E11" s="21"/>
      <c r="F11" s="21">
        <f t="shared" si="1"/>
        <v>2620899.6338274218</v>
      </c>
      <c r="G11" s="21">
        <v>2620899.6338274218</v>
      </c>
      <c r="H11" s="21">
        <f t="shared" si="0"/>
        <v>0</v>
      </c>
      <c r="I11" s="21">
        <f t="shared" si="2"/>
        <v>-243885.50344029116</v>
      </c>
      <c r="Q11" t="s">
        <v>59</v>
      </c>
      <c r="S11" s="19">
        <f>+C19</f>
        <v>1180000</v>
      </c>
      <c r="T11" s="19"/>
      <c r="Z11" s="19">
        <v>243886</v>
      </c>
    </row>
    <row r="12" spans="1:27" x14ac:dyDescent="0.25">
      <c r="A12" s="22" t="s">
        <v>60</v>
      </c>
      <c r="B12" s="21">
        <v>1387656</v>
      </c>
      <c r="C12" s="21">
        <v>1180000</v>
      </c>
      <c r="D12" s="21">
        <v>87169.054706193972</v>
      </c>
      <c r="E12" s="21"/>
      <c r="F12" s="21">
        <f t="shared" si="1"/>
        <v>2654825.054706194</v>
      </c>
      <c r="G12" s="21">
        <v>2654825.054706194</v>
      </c>
      <c r="H12" s="21">
        <f t="shared" si="0"/>
        <v>0</v>
      </c>
      <c r="I12" s="21">
        <f t="shared" si="2"/>
        <v>-243885.50344029116</v>
      </c>
      <c r="S12" s="19"/>
      <c r="T12" s="19"/>
    </row>
    <row r="13" spans="1:27" x14ac:dyDescent="0.25">
      <c r="A13" s="22" t="s">
        <v>61</v>
      </c>
      <c r="B13" s="21">
        <v>1387656</v>
      </c>
      <c r="C13" s="21">
        <v>1180000</v>
      </c>
      <c r="D13" s="21">
        <v>108164.60244573839</v>
      </c>
      <c r="E13" s="21"/>
      <c r="F13" s="21">
        <f t="shared" si="1"/>
        <v>2675820.6024457384</v>
      </c>
      <c r="G13" s="21">
        <v>2675820.6024457384</v>
      </c>
      <c r="H13" s="21">
        <f t="shared" si="0"/>
        <v>0</v>
      </c>
      <c r="I13" s="21">
        <f t="shared" si="2"/>
        <v>-243885.50344029116</v>
      </c>
      <c r="Q13" t="s">
        <v>62</v>
      </c>
      <c r="S13" s="19">
        <f>+S11-S9</f>
        <v>0</v>
      </c>
      <c r="T13" s="19"/>
    </row>
    <row r="14" spans="1:27" x14ac:dyDescent="0.25">
      <c r="A14" s="22" t="s">
        <v>63</v>
      </c>
      <c r="B14" s="21">
        <v>1387656</v>
      </c>
      <c r="C14" s="21">
        <v>1180000</v>
      </c>
      <c r="D14" s="21">
        <v>121029.87982001062</v>
      </c>
      <c r="E14" s="21"/>
      <c r="F14" s="21">
        <f t="shared" si="1"/>
        <v>2688685.8798200106</v>
      </c>
      <c r="G14" s="21">
        <v>2688685.8798200106</v>
      </c>
      <c r="H14" s="21">
        <f t="shared" si="0"/>
        <v>0</v>
      </c>
      <c r="I14" s="21">
        <f t="shared" si="2"/>
        <v>-243885.50344029116</v>
      </c>
      <c r="S14" s="19"/>
      <c r="T14" s="19"/>
    </row>
    <row r="15" spans="1:27" x14ac:dyDescent="0.25">
      <c r="A15" s="22" t="s">
        <v>64</v>
      </c>
      <c r="B15" s="21">
        <v>1387656</v>
      </c>
      <c r="C15" s="21">
        <v>1180000</v>
      </c>
      <c r="D15" s="21">
        <v>127206.47188988887</v>
      </c>
      <c r="E15" s="21"/>
      <c r="F15" s="21">
        <f t="shared" si="1"/>
        <v>2694862.4718898889</v>
      </c>
      <c r="G15" s="21">
        <v>2694862.4718898889</v>
      </c>
      <c r="H15" s="21">
        <f t="shared" si="0"/>
        <v>0</v>
      </c>
      <c r="I15" s="21">
        <f t="shared" si="2"/>
        <v>-243885.50344029116</v>
      </c>
      <c r="O15" s="19"/>
      <c r="P15" s="19">
        <f>+S13*14</f>
        <v>0</v>
      </c>
    </row>
    <row r="16" spans="1:27" x14ac:dyDescent="0.25">
      <c r="A16" s="22" t="s">
        <v>65</v>
      </c>
      <c r="B16" s="21">
        <v>1387656</v>
      </c>
      <c r="C16" s="21">
        <v>1180000</v>
      </c>
      <c r="D16" s="21">
        <v>108964.90274219122</v>
      </c>
      <c r="E16" s="21"/>
      <c r="F16" s="21">
        <f t="shared" si="1"/>
        <v>2676620.9027421912</v>
      </c>
      <c r="G16" s="21">
        <v>2676620.9027421912</v>
      </c>
      <c r="H16" s="21">
        <f t="shared" si="0"/>
        <v>0</v>
      </c>
      <c r="I16" s="21">
        <f t="shared" si="2"/>
        <v>-243885.50344029116</v>
      </c>
      <c r="O16" s="19"/>
      <c r="P16" s="19"/>
    </row>
    <row r="17" spans="1:21" x14ac:dyDescent="0.25">
      <c r="A17" s="22" t="s">
        <v>66</v>
      </c>
      <c r="B17" s="23">
        <v>1387656</v>
      </c>
      <c r="C17" s="21">
        <v>1180000</v>
      </c>
      <c r="D17" s="21">
        <v>93230.748777130619</v>
      </c>
      <c r="E17" s="21"/>
      <c r="F17" s="21">
        <f t="shared" si="1"/>
        <v>2660886.7487771306</v>
      </c>
      <c r="G17" s="23">
        <v>2660886.7487771306</v>
      </c>
      <c r="H17" s="21">
        <f t="shared" si="0"/>
        <v>0</v>
      </c>
      <c r="I17" s="23">
        <f t="shared" si="2"/>
        <v>-243885.50344029116</v>
      </c>
    </row>
    <row r="18" spans="1:21" x14ac:dyDescent="0.25">
      <c r="A18" s="22" t="s">
        <v>67</v>
      </c>
      <c r="B18" s="24">
        <v>1387656</v>
      </c>
      <c r="C18" s="21">
        <f>1180000</f>
        <v>1180000</v>
      </c>
      <c r="D18" s="21">
        <v>96221</v>
      </c>
      <c r="E18" s="21"/>
      <c r="F18" s="21">
        <f t="shared" si="1"/>
        <v>2663877</v>
      </c>
      <c r="G18" s="25">
        <v>2663876.1583165694</v>
      </c>
      <c r="H18" s="21">
        <f t="shared" si="0"/>
        <v>-0.84168343059718609</v>
      </c>
      <c r="I18" s="23">
        <f t="shared" si="2"/>
        <v>-243886.34512372175</v>
      </c>
      <c r="P18" s="19"/>
    </row>
    <row r="19" spans="1:21" x14ac:dyDescent="0.25">
      <c r="A19" s="22" t="s">
        <v>68</v>
      </c>
      <c r="B19" s="23">
        <v>1387656</v>
      </c>
      <c r="C19" s="21">
        <f t="shared" ref="C19:C31" si="3">1180000</f>
        <v>1180000</v>
      </c>
      <c r="D19" s="26">
        <v>120628</v>
      </c>
      <c r="E19" s="26"/>
      <c r="F19" s="21">
        <f t="shared" ref="F19:F31" si="4">SUM(B19:D19)</f>
        <v>2688284</v>
      </c>
      <c r="G19" s="23">
        <v>2688284</v>
      </c>
      <c r="H19" s="21">
        <f t="shared" si="0"/>
        <v>0</v>
      </c>
      <c r="I19" s="23">
        <f t="shared" si="2"/>
        <v>-243886.34512372175</v>
      </c>
      <c r="P19" s="19"/>
      <c r="U19" s="19">
        <f>D19:D31</f>
        <v>120628</v>
      </c>
    </row>
    <row r="20" spans="1:21" x14ac:dyDescent="0.25">
      <c r="A20" s="22" t="s">
        <v>69</v>
      </c>
      <c r="B20" s="23">
        <v>1387656</v>
      </c>
      <c r="C20" s="21">
        <f t="shared" si="3"/>
        <v>1180000</v>
      </c>
      <c r="D20" s="26">
        <v>174393.68000000017</v>
      </c>
      <c r="E20" s="26">
        <f>+D20-D19</f>
        <v>53765.680000000168</v>
      </c>
      <c r="F20" s="21">
        <f t="shared" si="4"/>
        <v>2742049.68</v>
      </c>
      <c r="G20" s="23">
        <f>+G19*1.02</f>
        <v>2742049.68</v>
      </c>
      <c r="H20" s="21">
        <f t="shared" si="0"/>
        <v>0</v>
      </c>
      <c r="I20" s="23">
        <f t="shared" si="2"/>
        <v>-243886.34512372175</v>
      </c>
      <c r="P20" s="19"/>
    </row>
    <row r="21" spans="1:21" x14ac:dyDescent="0.25">
      <c r="A21" s="22" t="s">
        <v>70</v>
      </c>
      <c r="B21" s="23">
        <v>1387656</v>
      </c>
      <c r="C21" s="21">
        <f t="shared" si="3"/>
        <v>1180000</v>
      </c>
      <c r="D21" s="26">
        <v>229234.67360000033</v>
      </c>
      <c r="E21" s="26">
        <f t="shared" ref="E21:E31" si="5">+D21-D20</f>
        <v>54840.993600000162</v>
      </c>
      <c r="F21" s="21">
        <f t="shared" si="4"/>
        <v>2796890.6736000003</v>
      </c>
      <c r="G21" s="23">
        <f t="shared" ref="G21:G31" si="6">+G20*1.02</f>
        <v>2796890.6736000003</v>
      </c>
      <c r="H21" s="21">
        <f t="shared" si="0"/>
        <v>0</v>
      </c>
      <c r="I21" s="23">
        <f t="shared" si="2"/>
        <v>-243886.34512372175</v>
      </c>
      <c r="P21" s="19"/>
    </row>
    <row r="22" spans="1:21" x14ac:dyDescent="0.25">
      <c r="A22" s="22" t="s">
        <v>71</v>
      </c>
      <c r="B22" s="23">
        <v>1387656</v>
      </c>
      <c r="C22" s="21">
        <f t="shared" si="3"/>
        <v>1180000</v>
      </c>
      <c r="D22" s="26">
        <v>285172.48707200028</v>
      </c>
      <c r="E22" s="26">
        <f t="shared" si="5"/>
        <v>55937.813471999951</v>
      </c>
      <c r="F22" s="21">
        <f t="shared" si="4"/>
        <v>2852828.4870720003</v>
      </c>
      <c r="G22" s="23">
        <f t="shared" si="6"/>
        <v>2852828.4870720003</v>
      </c>
      <c r="H22" s="21">
        <f t="shared" si="0"/>
        <v>0</v>
      </c>
      <c r="I22" s="23">
        <f t="shared" si="2"/>
        <v>-243886.34512372175</v>
      </c>
      <c r="K22" t="s">
        <v>72</v>
      </c>
      <c r="M22" s="4">
        <v>224023.7</v>
      </c>
      <c r="P22" s="19"/>
    </row>
    <row r="23" spans="1:21" x14ac:dyDescent="0.25">
      <c r="A23" s="22" t="s">
        <v>73</v>
      </c>
      <c r="B23" s="23">
        <v>1387656</v>
      </c>
      <c r="C23" s="21">
        <f t="shared" si="3"/>
        <v>1180000</v>
      </c>
      <c r="D23" s="26">
        <v>342229.05681344029</v>
      </c>
      <c r="E23" s="26">
        <f t="shared" si="5"/>
        <v>57056.569741440006</v>
      </c>
      <c r="F23" s="21">
        <f t="shared" si="4"/>
        <v>2909885.0568134403</v>
      </c>
      <c r="G23" s="23">
        <f t="shared" si="6"/>
        <v>2909885.0568134403</v>
      </c>
      <c r="H23" s="21">
        <f t="shared" si="0"/>
        <v>0</v>
      </c>
      <c r="I23" s="23">
        <f t="shared" si="2"/>
        <v>-243886.34512372175</v>
      </c>
      <c r="K23" t="s">
        <v>74</v>
      </c>
      <c r="M23" s="4">
        <f>M22*12</f>
        <v>2688284.4000000004</v>
      </c>
      <c r="Q23">
        <f>0.02*1/0.43</f>
        <v>4.6511627906976744E-2</v>
      </c>
    </row>
    <row r="24" spans="1:21" x14ac:dyDescent="0.25">
      <c r="A24" s="22" t="s">
        <v>75</v>
      </c>
      <c r="B24" s="23">
        <v>1387656</v>
      </c>
      <c r="C24" s="21">
        <f t="shared" si="3"/>
        <v>1180000</v>
      </c>
      <c r="D24" s="26">
        <v>400426.75794970896</v>
      </c>
      <c r="E24" s="26">
        <f t="shared" si="5"/>
        <v>58197.701136268675</v>
      </c>
      <c r="F24" s="21">
        <f t="shared" si="4"/>
        <v>2968082.757949709</v>
      </c>
      <c r="G24" s="23">
        <f t="shared" si="6"/>
        <v>2968082.757949709</v>
      </c>
      <c r="H24" s="21">
        <f t="shared" si="0"/>
        <v>0</v>
      </c>
      <c r="I24" s="23">
        <f t="shared" si="2"/>
        <v>-243886.34512372175</v>
      </c>
    </row>
    <row r="25" spans="1:21" x14ac:dyDescent="0.25">
      <c r="A25" s="22" t="s">
        <v>76</v>
      </c>
      <c r="B25" s="23">
        <v>1387656</v>
      </c>
      <c r="C25" s="21">
        <f t="shared" si="3"/>
        <v>1180000</v>
      </c>
      <c r="D25" s="26">
        <v>459788.41310870321</v>
      </c>
      <c r="E25" s="26">
        <f t="shared" si="5"/>
        <v>59361.655158994254</v>
      </c>
      <c r="F25" s="21">
        <f t="shared" si="4"/>
        <v>3027444.4131087032</v>
      </c>
      <c r="G25" s="23">
        <f t="shared" si="6"/>
        <v>3027444.4131087032</v>
      </c>
      <c r="H25" s="21">
        <f t="shared" si="0"/>
        <v>0</v>
      </c>
      <c r="I25" s="23">
        <f t="shared" si="2"/>
        <v>-243886.34512372175</v>
      </c>
      <c r="K25" t="s">
        <v>77</v>
      </c>
      <c r="M25" s="27">
        <v>1387656</v>
      </c>
    </row>
    <row r="26" spans="1:21" x14ac:dyDescent="0.25">
      <c r="A26" s="22" t="s">
        <v>78</v>
      </c>
      <c r="B26" s="23">
        <v>1387656</v>
      </c>
      <c r="C26" s="21">
        <f t="shared" si="3"/>
        <v>1180000</v>
      </c>
      <c r="D26" s="26">
        <v>520337.30137087731</v>
      </c>
      <c r="E26" s="26">
        <f t="shared" si="5"/>
        <v>60548.888262174092</v>
      </c>
      <c r="F26" s="21">
        <f t="shared" si="4"/>
        <v>3087993.3013708773</v>
      </c>
      <c r="G26" s="23">
        <f t="shared" si="6"/>
        <v>3087993.3013708773</v>
      </c>
      <c r="H26" s="21">
        <f t="shared" si="0"/>
        <v>0</v>
      </c>
      <c r="I26" s="23">
        <f t="shared" si="2"/>
        <v>-243886.34512372175</v>
      </c>
    </row>
    <row r="27" spans="1:21" x14ac:dyDescent="0.25">
      <c r="A27" s="22" t="s">
        <v>79</v>
      </c>
      <c r="B27" s="23">
        <v>1387656</v>
      </c>
      <c r="C27" s="21">
        <f t="shared" si="3"/>
        <v>1180000</v>
      </c>
      <c r="D27" s="26">
        <v>582097.1673982949</v>
      </c>
      <c r="E27" s="26">
        <f t="shared" si="5"/>
        <v>61759.866027417593</v>
      </c>
      <c r="F27" s="21">
        <f t="shared" si="4"/>
        <v>3149753.1673982949</v>
      </c>
      <c r="G27" s="23">
        <f t="shared" si="6"/>
        <v>3149753.1673982949</v>
      </c>
      <c r="H27" s="21">
        <f t="shared" si="0"/>
        <v>0</v>
      </c>
      <c r="I27" s="23">
        <f t="shared" si="2"/>
        <v>-243886.34512372175</v>
      </c>
      <c r="K27" t="s">
        <v>80</v>
      </c>
      <c r="M27" s="27">
        <f>+M23-M25</f>
        <v>1300628.4000000004</v>
      </c>
    </row>
    <row r="28" spans="1:21" x14ac:dyDescent="0.25">
      <c r="A28" s="22" t="s">
        <v>81</v>
      </c>
      <c r="B28" s="23">
        <v>1387656</v>
      </c>
      <c r="C28" s="21">
        <f t="shared" si="3"/>
        <v>1180000</v>
      </c>
      <c r="D28" s="26">
        <v>645092.23074626084</v>
      </c>
      <c r="E28" s="26">
        <f t="shared" si="5"/>
        <v>62995.063347965945</v>
      </c>
      <c r="F28" s="21">
        <f t="shared" si="4"/>
        <v>3212748.2307462608</v>
      </c>
      <c r="G28" s="23">
        <f t="shared" si="6"/>
        <v>3212748.2307462608</v>
      </c>
      <c r="H28" s="21">
        <f t="shared" si="0"/>
        <v>0</v>
      </c>
      <c r="I28" s="23">
        <f t="shared" si="2"/>
        <v>-243886.34512372175</v>
      </c>
    </row>
    <row r="29" spans="1:21" x14ac:dyDescent="0.25">
      <c r="A29" s="22" t="s">
        <v>82</v>
      </c>
      <c r="B29" s="23">
        <v>1387656</v>
      </c>
      <c r="C29" s="21">
        <f t="shared" si="3"/>
        <v>1180000</v>
      </c>
      <c r="D29" s="26">
        <v>709347.19536118628</v>
      </c>
      <c r="E29" s="26">
        <f t="shared" si="5"/>
        <v>64254.96461492544</v>
      </c>
      <c r="F29" s="21">
        <f t="shared" si="4"/>
        <v>3277003.1953611863</v>
      </c>
      <c r="G29" s="23">
        <f t="shared" si="6"/>
        <v>3277003.1953611863</v>
      </c>
      <c r="H29" s="21">
        <f t="shared" si="0"/>
        <v>0</v>
      </c>
      <c r="I29" s="23">
        <f t="shared" si="2"/>
        <v>-243886.34512372175</v>
      </c>
    </row>
    <row r="30" spans="1:21" x14ac:dyDescent="0.25">
      <c r="A30" s="22" t="s">
        <v>83</v>
      </c>
      <c r="B30" s="23">
        <v>1387656</v>
      </c>
      <c r="C30" s="21">
        <f t="shared" si="3"/>
        <v>1180000</v>
      </c>
      <c r="D30" s="26">
        <v>774887.25926841004</v>
      </c>
      <c r="E30" s="26">
        <f t="shared" si="5"/>
        <v>65540.063907223754</v>
      </c>
      <c r="F30" s="21">
        <f t="shared" si="4"/>
        <v>3342543.25926841</v>
      </c>
      <c r="G30" s="23">
        <f t="shared" si="6"/>
        <v>3342543.25926841</v>
      </c>
      <c r="H30" s="21">
        <f t="shared" si="0"/>
        <v>0</v>
      </c>
      <c r="I30" s="23">
        <f t="shared" si="2"/>
        <v>-243886.34512372175</v>
      </c>
    </row>
    <row r="31" spans="1:21" x14ac:dyDescent="0.25">
      <c r="A31" s="28" t="s">
        <v>84</v>
      </c>
      <c r="B31" s="23">
        <v>1387656</v>
      </c>
      <c r="C31" s="21">
        <f t="shared" si="3"/>
        <v>1180000</v>
      </c>
      <c r="D31" s="26">
        <f>841738.124453778-243886</f>
        <v>597852.12445377803</v>
      </c>
      <c r="E31" s="26">
        <f t="shared" si="5"/>
        <v>-177035.13481463201</v>
      </c>
      <c r="F31" s="21">
        <f t="shared" si="4"/>
        <v>3165508.1244537779</v>
      </c>
      <c r="G31" s="23">
        <f t="shared" si="6"/>
        <v>3409394.1244537784</v>
      </c>
      <c r="H31" s="29">
        <f t="shared" si="0"/>
        <v>243886.00000000047</v>
      </c>
      <c r="I31" s="30">
        <f t="shared" si="2"/>
        <v>-0.34512372128665447</v>
      </c>
      <c r="K31">
        <f>2688284/2633876</f>
        <v>1.0206570089100626</v>
      </c>
    </row>
    <row r="32" spans="1:21" x14ac:dyDescent="0.25">
      <c r="A32" s="18"/>
      <c r="B32" s="31">
        <f t="shared" ref="B32:G32" si="7">SUM(B6:B31)</f>
        <v>35152999.45602683</v>
      </c>
      <c r="C32" s="31">
        <f t="shared" si="7"/>
        <v>28984481.272649035</v>
      </c>
      <c r="D32" s="31">
        <f t="shared" si="7"/>
        <v>6967012.5666662185</v>
      </c>
      <c r="E32" s="31">
        <f t="shared" si="7"/>
        <v>477224.12445377803</v>
      </c>
      <c r="F32" s="31">
        <f t="shared" si="7"/>
        <v>71104493.295342088</v>
      </c>
      <c r="G32" s="31">
        <f t="shared" si="7"/>
        <v>71104492.950218365</v>
      </c>
      <c r="H32" s="14"/>
      <c r="I32" s="14"/>
      <c r="K32" s="32"/>
    </row>
    <row r="34" spans="2:7" x14ac:dyDescent="0.25">
      <c r="G34" s="19">
        <f>G19-F19</f>
        <v>0</v>
      </c>
    </row>
    <row r="35" spans="2:7" x14ac:dyDescent="0.25">
      <c r="B35" s="6"/>
    </row>
    <row r="36" spans="2:7" x14ac:dyDescent="0.25">
      <c r="B36" s="6"/>
    </row>
    <row r="37" spans="2:7" x14ac:dyDescent="0.25">
      <c r="B37" s="6"/>
    </row>
    <row r="38" spans="2:7" x14ac:dyDescent="0.25">
      <c r="B38" s="6"/>
    </row>
    <row r="39" spans="2:7" x14ac:dyDescent="0.25">
      <c r="B39" s="6"/>
    </row>
    <row r="41" spans="2:7" x14ac:dyDescent="0.25">
      <c r="B41" s="6"/>
    </row>
    <row r="42" spans="2:7" x14ac:dyDescent="0.25">
      <c r="B42" s="6"/>
    </row>
    <row r="43" spans="2:7" x14ac:dyDescent="0.25">
      <c r="B43" s="6"/>
    </row>
  </sheetData>
  <mergeCells count="3">
    <mergeCell ref="B3:F3"/>
    <mergeCell ref="G3:G4"/>
    <mergeCell ref="H3:I3"/>
  </mergeCells>
  <hyperlinks>
    <hyperlink ref="G18" location="'PFI Model'!O17" display="'PFI Model'!O17" xr:uid="{90176E54-952B-40D5-AB63-897D15EF688B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D0D2-4BDD-4F69-BB5C-582FCBDFFFEA}">
  <dimension ref="C3:E16"/>
  <sheetViews>
    <sheetView workbookViewId="0">
      <selection activeCell="D16" sqref="D16"/>
    </sheetView>
  </sheetViews>
  <sheetFormatPr defaultRowHeight="15" x14ac:dyDescent="0.25"/>
  <cols>
    <col min="3" max="3" width="21.140625" customWidth="1"/>
    <col min="4" max="4" width="12.7109375" customWidth="1"/>
  </cols>
  <sheetData>
    <row r="3" spans="3:5" x14ac:dyDescent="0.25">
      <c r="C3" s="8" t="s">
        <v>85</v>
      </c>
    </row>
    <row r="5" spans="3:5" x14ac:dyDescent="0.25">
      <c r="D5" s="33" t="s">
        <v>49</v>
      </c>
    </row>
    <row r="6" spans="3:5" x14ac:dyDescent="0.25">
      <c r="C6" t="s">
        <v>21</v>
      </c>
      <c r="D6" s="10">
        <v>717362</v>
      </c>
    </row>
    <row r="7" spans="3:5" x14ac:dyDescent="0.25">
      <c r="C7" t="s">
        <v>22</v>
      </c>
      <c r="D7" s="10">
        <v>992437</v>
      </c>
    </row>
    <row r="8" spans="3:5" x14ac:dyDescent="0.25">
      <c r="C8" t="s">
        <v>23</v>
      </c>
      <c r="D8" s="10">
        <v>898411</v>
      </c>
    </row>
    <row r="9" spans="3:5" x14ac:dyDescent="0.25">
      <c r="C9" t="s">
        <v>24</v>
      </c>
      <c r="D9" s="10">
        <v>479043</v>
      </c>
    </row>
    <row r="10" spans="3:5" x14ac:dyDescent="0.25">
      <c r="C10" t="s">
        <v>86</v>
      </c>
      <c r="D10" s="10">
        <v>937022</v>
      </c>
    </row>
    <row r="11" spans="3:5" x14ac:dyDescent="0.25">
      <c r="C11" t="s">
        <v>26</v>
      </c>
      <c r="D11" s="10">
        <v>1040441</v>
      </c>
    </row>
    <row r="12" spans="3:5" x14ac:dyDescent="0.25">
      <c r="C12" t="s">
        <v>87</v>
      </c>
      <c r="D12" s="10">
        <v>0</v>
      </c>
      <c r="E12" t="s">
        <v>88</v>
      </c>
    </row>
    <row r="14" spans="3:5" x14ac:dyDescent="0.25">
      <c r="C14" s="34" t="s">
        <v>12</v>
      </c>
    </row>
    <row r="16" spans="3:5" x14ac:dyDescent="0.25">
      <c r="C16" t="s">
        <v>26</v>
      </c>
      <c r="D16" s="10">
        <v>2002155</v>
      </c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</vt:lpstr>
      <vt:lpstr>HIP, EV, LED</vt:lpstr>
      <vt:lpstr>PFI Calcs 3.85%</vt:lpstr>
      <vt:lpstr>Cycling</vt:lpstr>
      <vt:lpstr>'PFI Calcs 3.85%'!Print_Area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Alam</dc:creator>
  <cp:lastModifiedBy>Derek Roopnarine</cp:lastModifiedBy>
  <dcterms:created xsi:type="dcterms:W3CDTF">2015-06-05T18:17:20Z</dcterms:created>
  <dcterms:modified xsi:type="dcterms:W3CDTF">2021-12-14T16:16:51Z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